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ky\Dropbox\FIRE\8. 2411 Welbeck\Potential Sale Q1 2023\"/>
    </mc:Choice>
  </mc:AlternateContent>
  <xr:revisionPtr revIDLastSave="0" documentId="13_ncr:1_{B6D48D33-2E25-4B8A-AE27-6427D53D1675}" xr6:coauthVersionLast="47" xr6:coauthVersionMax="47" xr10:uidLastSave="{00000000-0000-0000-0000-000000000000}"/>
  <bookViews>
    <workbookView xWindow="-28920" yWindow="-120" windowWidth="29040" windowHeight="15990" activeTab="1" xr2:uid="{00000000-000D-0000-FFFF-FFFF00000000}"/>
  </bookViews>
  <sheets>
    <sheet name="2022 Profit and Loss" sheetId="1" r:id="rId1"/>
    <sheet name="Stabilized Pn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9" i="3" l="1"/>
  <c r="P45" i="3"/>
  <c r="P43" i="3"/>
  <c r="O43" i="3"/>
  <c r="C9" i="3"/>
  <c r="D9" i="3"/>
  <c r="E9" i="3"/>
  <c r="F9" i="3"/>
  <c r="G9" i="3"/>
  <c r="H9" i="3"/>
  <c r="I9" i="3"/>
  <c r="J9" i="3"/>
  <c r="J10" i="3" s="1"/>
  <c r="J11" i="3" s="1"/>
  <c r="K9" i="3"/>
  <c r="L9" i="3"/>
  <c r="M9" i="3"/>
  <c r="B9" i="3"/>
  <c r="D23" i="3"/>
  <c r="N23" i="3" s="1"/>
  <c r="X18" i="3"/>
  <c r="W18" i="3"/>
  <c r="W16" i="3"/>
  <c r="M8" i="3"/>
  <c r="M10" i="3" s="1"/>
  <c r="M11" i="3" s="1"/>
  <c r="L8" i="3"/>
  <c r="K8" i="3"/>
  <c r="J8" i="3"/>
  <c r="I8" i="3"/>
  <c r="H8" i="3"/>
  <c r="G8" i="3"/>
  <c r="F8" i="3"/>
  <c r="E8" i="3"/>
  <c r="E10" i="3" s="1"/>
  <c r="E11" i="3" s="1"/>
  <c r="D8" i="3"/>
  <c r="C8" i="3"/>
  <c r="B8" i="3"/>
  <c r="K10" i="3"/>
  <c r="K11" i="3" s="1"/>
  <c r="K40" i="3"/>
  <c r="I40" i="3"/>
  <c r="C40" i="3"/>
  <c r="M39" i="3"/>
  <c r="L39" i="3"/>
  <c r="K39" i="3"/>
  <c r="J39" i="3"/>
  <c r="I39" i="3"/>
  <c r="H39" i="3"/>
  <c r="G39" i="3"/>
  <c r="F39" i="3"/>
  <c r="N39" i="3" s="1"/>
  <c r="D39" i="3"/>
  <c r="C39" i="3"/>
  <c r="B39" i="3"/>
  <c r="M38" i="3"/>
  <c r="L38" i="3"/>
  <c r="K38" i="3"/>
  <c r="J38" i="3"/>
  <c r="I38" i="3"/>
  <c r="H38" i="3"/>
  <c r="G38" i="3"/>
  <c r="F38" i="3"/>
  <c r="E38" i="3"/>
  <c r="D38" i="3"/>
  <c r="C38" i="3"/>
  <c r="B38" i="3"/>
  <c r="N38" i="3" s="1"/>
  <c r="M37" i="3"/>
  <c r="L37" i="3"/>
  <c r="K37" i="3"/>
  <c r="J37" i="3"/>
  <c r="J40" i="3" s="1"/>
  <c r="I37" i="3"/>
  <c r="H37" i="3"/>
  <c r="G37" i="3"/>
  <c r="F37" i="3"/>
  <c r="E37" i="3"/>
  <c r="D37" i="3"/>
  <c r="C37" i="3"/>
  <c r="B37" i="3"/>
  <c r="B40" i="3" s="1"/>
  <c r="M36" i="3"/>
  <c r="M40" i="3" s="1"/>
  <c r="L36" i="3"/>
  <c r="L40" i="3" s="1"/>
  <c r="K36" i="3"/>
  <c r="J36" i="3"/>
  <c r="I36" i="3"/>
  <c r="H36" i="3"/>
  <c r="H40" i="3" s="1"/>
  <c r="G36" i="3"/>
  <c r="G40" i="3" s="1"/>
  <c r="F36" i="3"/>
  <c r="F40" i="3" s="1"/>
  <c r="E36" i="3"/>
  <c r="E40" i="3" s="1"/>
  <c r="D36" i="3"/>
  <c r="D40" i="3" s="1"/>
  <c r="C36" i="3"/>
  <c r="B36" i="3"/>
  <c r="N35" i="3"/>
  <c r="M34" i="3"/>
  <c r="L34" i="3"/>
  <c r="K34" i="3"/>
  <c r="J34" i="3"/>
  <c r="I34" i="3"/>
  <c r="H34" i="3"/>
  <c r="G34" i="3"/>
  <c r="F34" i="3"/>
  <c r="E34" i="3"/>
  <c r="D34" i="3"/>
  <c r="C34" i="3"/>
  <c r="B34" i="3"/>
  <c r="N34" i="3" s="1"/>
  <c r="N33" i="3"/>
  <c r="N32" i="3"/>
  <c r="M31" i="3"/>
  <c r="L31" i="3"/>
  <c r="K31" i="3"/>
  <c r="J31" i="3"/>
  <c r="I31" i="3"/>
  <c r="H31" i="3"/>
  <c r="C31" i="3"/>
  <c r="B31" i="3"/>
  <c r="N30" i="3"/>
  <c r="B30" i="3"/>
  <c r="L29" i="3"/>
  <c r="K29" i="3"/>
  <c r="N29" i="3" s="1"/>
  <c r="G28" i="3"/>
  <c r="G31" i="3" s="1"/>
  <c r="E28" i="3"/>
  <c r="E31" i="3" s="1"/>
  <c r="D28" i="3"/>
  <c r="N28" i="3" s="1"/>
  <c r="N27" i="3"/>
  <c r="K27" i="3"/>
  <c r="N26" i="3"/>
  <c r="K26" i="3"/>
  <c r="N25" i="3"/>
  <c r="F25" i="3"/>
  <c r="F31" i="3" s="1"/>
  <c r="N24" i="3"/>
  <c r="K23" i="3"/>
  <c r="M22" i="3"/>
  <c r="L22" i="3"/>
  <c r="K22" i="3"/>
  <c r="J22" i="3"/>
  <c r="I22" i="3"/>
  <c r="H22" i="3"/>
  <c r="G22" i="3"/>
  <c r="F22" i="3"/>
  <c r="N22" i="3" s="1"/>
  <c r="G21" i="3"/>
  <c r="F21" i="3"/>
  <c r="B21" i="3"/>
  <c r="N21" i="3" s="1"/>
  <c r="N20" i="3"/>
  <c r="H20" i="3"/>
  <c r="G20" i="3"/>
  <c r="D20" i="3"/>
  <c r="B20" i="3"/>
  <c r="N19" i="3"/>
  <c r="H19" i="3"/>
  <c r="M18" i="3"/>
  <c r="H18" i="3"/>
  <c r="G18" i="3"/>
  <c r="F18" i="3"/>
  <c r="F41" i="3" s="1"/>
  <c r="E18" i="3"/>
  <c r="E41" i="3" s="1"/>
  <c r="M17" i="3"/>
  <c r="L17" i="3"/>
  <c r="L18" i="3" s="1"/>
  <c r="K17" i="3"/>
  <c r="K18" i="3" s="1"/>
  <c r="K41" i="3" s="1"/>
  <c r="J17" i="3"/>
  <c r="J18" i="3" s="1"/>
  <c r="I17" i="3"/>
  <c r="I18" i="3" s="1"/>
  <c r="H17" i="3"/>
  <c r="G17" i="3"/>
  <c r="F17" i="3"/>
  <c r="E17" i="3"/>
  <c r="D17" i="3"/>
  <c r="D18" i="3" s="1"/>
  <c r="C17" i="3"/>
  <c r="C18" i="3" s="1"/>
  <c r="C41" i="3" s="1"/>
  <c r="B17" i="3"/>
  <c r="B18" i="3" s="1"/>
  <c r="N16" i="3"/>
  <c r="M41" i="3"/>
  <c r="J41" i="3"/>
  <c r="I41" i="3"/>
  <c r="H41" i="3"/>
  <c r="N14" i="3"/>
  <c r="N13" i="3"/>
  <c r="I10" i="3"/>
  <c r="I11" i="3" s="1"/>
  <c r="H10" i="3"/>
  <c r="H11" i="3" s="1"/>
  <c r="H42" i="3" s="1"/>
  <c r="H43" i="3" s="1"/>
  <c r="F10" i="3"/>
  <c r="F11" i="3" s="1"/>
  <c r="L10" i="3"/>
  <c r="L11" i="3" s="1"/>
  <c r="D10" i="3"/>
  <c r="D11" i="3" s="1"/>
  <c r="C10" i="3"/>
  <c r="C11" i="3" s="1"/>
  <c r="C42" i="3" s="1"/>
  <c r="C43" i="3" s="1"/>
  <c r="N7" i="3"/>
  <c r="M17" i="1"/>
  <c r="L17" i="1"/>
  <c r="L18" i="1" s="1"/>
  <c r="K17" i="1"/>
  <c r="J17" i="1"/>
  <c r="I17" i="1"/>
  <c r="H17" i="1"/>
  <c r="G17" i="1"/>
  <c r="F17" i="1"/>
  <c r="E17" i="1"/>
  <c r="D17" i="1"/>
  <c r="C17" i="1"/>
  <c r="B17" i="1"/>
  <c r="B18" i="1" s="1"/>
  <c r="I18" i="1"/>
  <c r="H18" i="1"/>
  <c r="E18" i="1"/>
  <c r="D18" i="1"/>
  <c r="M36" i="1"/>
  <c r="L36" i="1"/>
  <c r="K36" i="1"/>
  <c r="J36" i="1"/>
  <c r="I36" i="1"/>
  <c r="I40" i="1" s="1"/>
  <c r="B30" i="1"/>
  <c r="N30" i="1" s="1"/>
  <c r="F40" i="1"/>
  <c r="M39" i="1"/>
  <c r="L39" i="1"/>
  <c r="K39" i="1"/>
  <c r="J39" i="1"/>
  <c r="I39" i="1"/>
  <c r="H39" i="1"/>
  <c r="G39" i="1"/>
  <c r="F39" i="1"/>
  <c r="D39" i="1"/>
  <c r="C39" i="1"/>
  <c r="B39" i="1"/>
  <c r="N39" i="1" s="1"/>
  <c r="M38" i="1"/>
  <c r="L38" i="1"/>
  <c r="K38" i="1"/>
  <c r="J38" i="1"/>
  <c r="I38" i="1"/>
  <c r="H38" i="1"/>
  <c r="G38" i="1"/>
  <c r="G40" i="1" s="1"/>
  <c r="F38" i="1"/>
  <c r="E38" i="1"/>
  <c r="D38" i="1"/>
  <c r="C38" i="1"/>
  <c r="B38" i="1"/>
  <c r="N38" i="1" s="1"/>
  <c r="M37" i="1"/>
  <c r="L37" i="1"/>
  <c r="K37" i="1"/>
  <c r="J37" i="1"/>
  <c r="I37" i="1"/>
  <c r="H37" i="1"/>
  <c r="H40" i="1" s="1"/>
  <c r="G37" i="1"/>
  <c r="F37" i="1"/>
  <c r="E37" i="1"/>
  <c r="D37" i="1"/>
  <c r="N37" i="1" s="1"/>
  <c r="C37" i="1"/>
  <c r="B37" i="1"/>
  <c r="M40" i="1"/>
  <c r="L40" i="1"/>
  <c r="K40" i="1"/>
  <c r="J40" i="1"/>
  <c r="H36" i="1"/>
  <c r="G36" i="1"/>
  <c r="F36" i="1"/>
  <c r="E36" i="1"/>
  <c r="E40" i="1" s="1"/>
  <c r="D36" i="1"/>
  <c r="D40" i="1" s="1"/>
  <c r="C36" i="1"/>
  <c r="C40" i="1" s="1"/>
  <c r="B36" i="1"/>
  <c r="N35" i="1"/>
  <c r="L34" i="1"/>
  <c r="K34" i="1"/>
  <c r="J34" i="1"/>
  <c r="I34" i="1"/>
  <c r="H34" i="1"/>
  <c r="G34" i="1"/>
  <c r="F34" i="1"/>
  <c r="E34" i="1"/>
  <c r="D34" i="1"/>
  <c r="C34" i="1"/>
  <c r="B34" i="1"/>
  <c r="M34" i="1"/>
  <c r="N32" i="1"/>
  <c r="J31" i="1"/>
  <c r="I31" i="1"/>
  <c r="H31" i="1"/>
  <c r="C31" i="1"/>
  <c r="L29" i="1"/>
  <c r="K29" i="1"/>
  <c r="N29" i="1" s="1"/>
  <c r="M31" i="1"/>
  <c r="G28" i="1"/>
  <c r="G31" i="1" s="1"/>
  <c r="E28" i="1"/>
  <c r="E31" i="1" s="1"/>
  <c r="D28" i="1"/>
  <c r="K27" i="1"/>
  <c r="N27" i="1" s="1"/>
  <c r="L31" i="1"/>
  <c r="K26" i="1"/>
  <c r="K31" i="1" s="1"/>
  <c r="D31" i="1"/>
  <c r="F25" i="1"/>
  <c r="N25" i="1" s="1"/>
  <c r="N24" i="1"/>
  <c r="K23" i="1"/>
  <c r="D23" i="1"/>
  <c r="N23" i="1" s="1"/>
  <c r="M22" i="1"/>
  <c r="L22" i="1"/>
  <c r="K22" i="1"/>
  <c r="J22" i="1"/>
  <c r="I22" i="1"/>
  <c r="H22" i="1"/>
  <c r="G22" i="1"/>
  <c r="F22" i="1"/>
  <c r="N22" i="1" s="1"/>
  <c r="G21" i="1"/>
  <c r="F21" i="1"/>
  <c r="B21" i="1"/>
  <c r="N21" i="1" s="1"/>
  <c r="H20" i="1"/>
  <c r="G20" i="1"/>
  <c r="N20" i="1" s="1"/>
  <c r="D20" i="1"/>
  <c r="B20" i="1"/>
  <c r="H19" i="1"/>
  <c r="N19" i="1" s="1"/>
  <c r="M18" i="1"/>
  <c r="K18" i="1"/>
  <c r="G18" i="1"/>
  <c r="F18" i="1"/>
  <c r="C18" i="1"/>
  <c r="J18" i="1"/>
  <c r="N16" i="1"/>
  <c r="N15" i="1"/>
  <c r="M15" i="1"/>
  <c r="L15" i="1"/>
  <c r="J15" i="1"/>
  <c r="I15" i="1"/>
  <c r="H15" i="1"/>
  <c r="D15" i="1"/>
  <c r="N13" i="1"/>
  <c r="I11" i="1"/>
  <c r="B11" i="1"/>
  <c r="I10" i="1"/>
  <c r="H10" i="1"/>
  <c r="H11" i="1" s="1"/>
  <c r="F10" i="1"/>
  <c r="F11" i="1" s="1"/>
  <c r="B10" i="1"/>
  <c r="M9" i="1"/>
  <c r="M10" i="1" s="1"/>
  <c r="M11" i="1" s="1"/>
  <c r="L9" i="1"/>
  <c r="L10" i="1" s="1"/>
  <c r="L11" i="1" s="1"/>
  <c r="K9" i="1"/>
  <c r="K10" i="1" s="1"/>
  <c r="K11" i="1" s="1"/>
  <c r="J9" i="1"/>
  <c r="I9" i="1"/>
  <c r="H9" i="1"/>
  <c r="G9" i="1"/>
  <c r="F9" i="1"/>
  <c r="E9" i="1"/>
  <c r="E10" i="1" s="1"/>
  <c r="E11" i="1" s="1"/>
  <c r="D9" i="1"/>
  <c r="D10" i="1" s="1"/>
  <c r="D11" i="1" s="1"/>
  <c r="C9" i="1"/>
  <c r="C10" i="1" s="1"/>
  <c r="B9" i="1"/>
  <c r="J8" i="1"/>
  <c r="H8" i="1"/>
  <c r="N8" i="1" s="1"/>
  <c r="J7" i="1"/>
  <c r="J10" i="1" s="1"/>
  <c r="J11" i="1" s="1"/>
  <c r="G7" i="1"/>
  <c r="N7" i="1" s="1"/>
  <c r="B10" i="3" l="1"/>
  <c r="B11" i="3" s="1"/>
  <c r="K42" i="3"/>
  <c r="K43" i="3" s="1"/>
  <c r="F42" i="3"/>
  <c r="F43" i="3" s="1"/>
  <c r="J42" i="3"/>
  <c r="J43" i="3" s="1"/>
  <c r="N8" i="3"/>
  <c r="G10" i="3"/>
  <c r="G11" i="3" s="1"/>
  <c r="N31" i="3"/>
  <c r="N40" i="3"/>
  <c r="N18" i="3"/>
  <c r="B41" i="3"/>
  <c r="D41" i="3"/>
  <c r="D42" i="3" s="1"/>
  <c r="D43" i="3" s="1"/>
  <c r="I42" i="3"/>
  <c r="I43" i="3" s="1"/>
  <c r="E42" i="3"/>
  <c r="E43" i="3" s="1"/>
  <c r="M42" i="3"/>
  <c r="M43" i="3" s="1"/>
  <c r="L41" i="3"/>
  <c r="L42" i="3" s="1"/>
  <c r="L43" i="3" s="1"/>
  <c r="G41" i="3"/>
  <c r="N9" i="3"/>
  <c r="N15" i="3"/>
  <c r="N37" i="3"/>
  <c r="N36" i="3"/>
  <c r="D31" i="3"/>
  <c r="N17" i="3"/>
  <c r="H41" i="1"/>
  <c r="L41" i="1"/>
  <c r="L42" i="1" s="1"/>
  <c r="L43" i="1" s="1"/>
  <c r="N36" i="1"/>
  <c r="K41" i="1"/>
  <c r="N34" i="1"/>
  <c r="M41" i="1"/>
  <c r="M42" i="1" s="1"/>
  <c r="M43" i="1" s="1"/>
  <c r="C41" i="1"/>
  <c r="K42" i="1"/>
  <c r="K43" i="1" s="1"/>
  <c r="H42" i="1"/>
  <c r="H43" i="1" s="1"/>
  <c r="C11" i="1"/>
  <c r="N10" i="1"/>
  <c r="E41" i="1"/>
  <c r="E42" i="1" s="1"/>
  <c r="E43" i="1" s="1"/>
  <c r="I41" i="1"/>
  <c r="I42" i="1" s="1"/>
  <c r="I43" i="1" s="1"/>
  <c r="D41" i="1"/>
  <c r="D42" i="1" s="1"/>
  <c r="D43" i="1" s="1"/>
  <c r="N18" i="1"/>
  <c r="J41" i="1"/>
  <c r="J42" i="1" s="1"/>
  <c r="J43" i="1" s="1"/>
  <c r="G41" i="1"/>
  <c r="B31" i="1"/>
  <c r="N33" i="1"/>
  <c r="G10" i="1"/>
  <c r="G11" i="1" s="1"/>
  <c r="N9" i="1"/>
  <c r="N26" i="1"/>
  <c r="N14" i="1"/>
  <c r="N28" i="1"/>
  <c r="B40" i="1"/>
  <c r="N40" i="1" s="1"/>
  <c r="N17" i="1"/>
  <c r="F31" i="1"/>
  <c r="F41" i="1" s="1"/>
  <c r="F42" i="1" s="1"/>
  <c r="F43" i="1" s="1"/>
  <c r="N10" i="3" l="1"/>
  <c r="G42" i="3"/>
  <c r="G43" i="3" s="1"/>
  <c r="N41" i="3"/>
  <c r="N11" i="3"/>
  <c r="B42" i="3"/>
  <c r="C42" i="1"/>
  <c r="C43" i="1" s="1"/>
  <c r="N31" i="1"/>
  <c r="N11" i="1"/>
  <c r="B41" i="1"/>
  <c r="G42" i="1"/>
  <c r="G43" i="1" s="1"/>
  <c r="O22" i="3" l="1"/>
  <c r="O18" i="3"/>
  <c r="O40" i="3"/>
  <c r="O31" i="3"/>
  <c r="O21" i="3"/>
  <c r="O20" i="3"/>
  <c r="O19" i="3"/>
  <c r="O23" i="3"/>
  <c r="O41" i="3"/>
  <c r="B43" i="3"/>
  <c r="N43" i="3" s="1"/>
  <c r="N45" i="3" s="1"/>
  <c r="N42" i="3"/>
  <c r="N41" i="1"/>
  <c r="B42" i="1"/>
  <c r="B43" i="1" l="1"/>
  <c r="N43" i="1" s="1"/>
  <c r="N42" i="1"/>
</calcChain>
</file>

<file path=xl/sharedStrings.xml><?xml version="1.0" encoding="utf-8"?>
<sst xmlns="http://schemas.openxmlformats.org/spreadsheetml/2006/main" count="141" uniqueCount="88">
  <si>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</si>
  <si>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</si>
  <si>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</si>
  <si>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</si>
  <si>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</si>
  <si>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</si>
  <si>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</si>
  <si>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</si>
  <si>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</si>
  <si>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</si>
  <si>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</si>
  <si>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</si>
  <si>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Total</t>
  </si>
  <si>
    <t>Income</t>
  </si>
  <si>
    <t xml:space="preserve">   Application Fee Income</t>
  </si>
  <si>
    <t xml:space="preserve">   Laundry Income</t>
  </si>
  <si>
    <t xml:space="preserve">   Rental Income</t>
  </si>
  <si>
    <t>Total Income</t>
  </si>
  <si>
    <t>Gross Profit</t>
  </si>
  <si>
    <t>Expenses</t>
  </si>
  <si>
    <t xml:space="preserve">   Acquisition Fee</t>
  </si>
  <si>
    <t xml:space="preserve">   Advertising &amp; Marketing</t>
  </si>
  <si>
    <t xml:space="preserve">   Bank Charges &amp; Fees</t>
  </si>
  <si>
    <t xml:space="preserve">   Insurance</t>
  </si>
  <si>
    <t xml:space="preserve">   Total Insurance</t>
  </si>
  <si>
    <t xml:space="preserve">   Landscaping</t>
  </si>
  <si>
    <t xml:space="preserve">   Legal &amp; Professional Services</t>
  </si>
  <si>
    <t xml:space="preserve">   Operations/Administration Fees</t>
  </si>
  <si>
    <t xml:space="preserve">   Property Management Fees</t>
  </si>
  <si>
    <t xml:space="preserve">   Real Estate Taxes</t>
  </si>
  <si>
    <t xml:space="preserve">   Rental Certificate Inspection</t>
  </si>
  <si>
    <t xml:space="preserve">   Repairs &amp; Maintenance</t>
  </si>
  <si>
    <t xml:space="preserve">      Cleaning/make ready</t>
  </si>
  <si>
    <t xml:space="preserve">      HVAC</t>
  </si>
  <si>
    <t xml:space="preserve">      Keys</t>
  </si>
  <si>
    <t xml:space="preserve">      Labor</t>
  </si>
  <si>
    <t xml:space="preserve">      Snow Removal</t>
  </si>
  <si>
    <t xml:space="preserve">   Total Repairs &amp; Maintenance</t>
  </si>
  <si>
    <t xml:space="preserve">   Software</t>
  </si>
  <si>
    <t xml:space="preserve">      Appfolio SAAS</t>
  </si>
  <si>
    <t xml:space="preserve">   Total Software</t>
  </si>
  <si>
    <t xml:space="preserve">   Utilities</t>
  </si>
  <si>
    <t xml:space="preserve">      Mediacom</t>
  </si>
  <si>
    <t xml:space="preserve">      MidAmerican</t>
  </si>
  <si>
    <t xml:space="preserve">      Trash</t>
  </si>
  <si>
    <t xml:space="preserve">      Water</t>
  </si>
  <si>
    <t xml:space="preserve">   Total Utilities</t>
  </si>
  <si>
    <t>Total Expenses</t>
  </si>
  <si>
    <t>Net Operating Income</t>
  </si>
  <si>
    <t>Net Income</t>
  </si>
  <si>
    <t>Sunday, Feb 19, 2023 09:34:01 PM GMT-8 - Cash Basis</t>
  </si>
  <si>
    <t>BGC LLC - Welbeck</t>
  </si>
  <si>
    <t>Profit and Loss</t>
  </si>
  <si>
    <t>January - December 2022</t>
  </si>
  <si>
    <t xml:space="preserve">      Auto Owners - Insurance</t>
  </si>
  <si>
    <t>Vacancy</t>
  </si>
  <si>
    <t>opex ratio</t>
  </si>
  <si>
    <t>cap</t>
  </si>
  <si>
    <t>Unit</t>
  </si>
  <si>
    <t>BD/BA</t>
  </si>
  <si>
    <t>1</t>
  </si>
  <si>
    <t>2/1.00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</si>
  <si>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</si>
  <si>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</si>
  <si>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</si>
  <si>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</si>
  <si>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</si>
  <si>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</si>
  <si>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</si>
  <si>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</si>
  <si>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</si>
  <si>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</si>
  <si>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</si>
  <si>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Market Rent</t>
  </si>
  <si>
    <t>In-place Rent (some include RUBS)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</si>
  <si>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</si>
  <si>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</si>
  <si>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</si>
  <si>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</si>
  <si>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</si>
  <si>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</si>
  <si>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</si>
  <si>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</si>
  <si>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</si>
  <si>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</si>
  <si>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</si>
  <si>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</si>
  <si>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Stabilized Proforma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</si>
</sst>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\ _€"/>
    <numFmt numFmtId="165" formatCode="&quot;$&quot;* #,##0\ _€"/>
    <numFmt numFmtId="166" formatCode="&quot;$&quot;* \-#,##0;[Red]&quot;$&quot;* \-#,##0"/>
  </numFmts>
  <fonts count="9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6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66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10" fontId="3" fillId="0" borderId="0" xfId="1" applyNumberFormat="1" applyFont="1" applyAlignment="1">
      <alignment horizontal="right" wrapText="1"/>
    </xf>
    <xf numFmtId="9" fontId="0" fillId="2" borderId="0" xfId="0" applyNumberFormat="1" applyFill="1"/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164" fontId="7" fillId="0" borderId="4" xfId="0" applyNumberFormat="1" applyFont="1" applyBorder="1" applyAlignment="1">
      <alignment horizontal="center" wrapText="1"/>
    </xf>
    <xf numFmtId="10" fontId="7" fillId="0" borderId="0" xfId="1" applyNumberFormat="1" applyFont="1" applyFill="1" applyBorder="1" applyAlignment="1">
      <alignment horizontal="right" wrapText="1"/>
    </xf>
    <xf numFmtId="10" fontId="0" fillId="0" borderId="0" xfId="0" applyNumberFormat="1"/>
    <xf numFmtId="10" fontId="2" fillId="0" borderId="0" xfId="1" applyNumberFormat="1" applyFont="1" applyFill="1" applyBorder="1" applyAlignment="1">
      <alignment horizontal="right" wrapText="1"/>
    </xf>
    <xf numFmtId="10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zoomScale="115" zoomScaleNormal="115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N44" sqref="N44"/>
    </sheetView>
  </sheetViews>
  <sheetFormatPr defaultRowHeight="15" x14ac:dyDescent="0.25"/>
  <cols>
    <col min="1" max="1" width="29.28515625" customWidth="1"/>
    <col min="2" max="13" width="7.7109375" customWidth="1"/>
    <col min="14" max="14" width="8.28515625" bestFit="1" customWidth="1"/>
    <col min="15" max="15" width="13.42578125" bestFit="1" customWidth="1"/>
  </cols>
  <sheetData>
    <row r="1" spans="1:14" ht="18" x14ac:dyDescent="0.25">
      <c r="A1" s="12" t="s">
        <v>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" x14ac:dyDescent="0.25">
      <c r="A2" s="12" t="s">
        <v>52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5">
      <c r="A3" s="13" t="s">
        <v>53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5" spans="1:14" ht="24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</row>
    <row r="6" spans="1:14" x14ac:dyDescent="0.25">
      <c r="A6" s="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3" t="s">
        <v>14</v>
      </c>
      <c r="B7" s="4"/>
      <c r="C7" s="4"/>
      <c r="D7" s="4"/>
      <c r="E7" s="4"/>
      <c r="F7" s="4"/>
      <c r="G7" s="5">
        <f>40</f>
        <v>40</v>
      </c>
      <c r="H7" s="4"/>
      <c r="I7" s="4"/>
      <c r="J7" s="5">
        <f>80</f>
        <v>80</v>
      </c>
      <c r="K7" s="4"/>
      <c r="L7" s="4"/>
      <c r="M7" s="4"/>
      <c r="N7" s="5">
        <f>(((((((((((B7)+(C7))+(D7))+(E7))+(F7))+(G7))+(H7))+(I7))+(J7))+(K7))+(L7))+(M7)</f>
        <v>120</v>
      </c>
    </row>
    <row r="8" spans="1:14" x14ac:dyDescent="0.25">
      <c r="A8" s="3" t="s">
        <v>15</v>
      </c>
      <c r="B8" s="4"/>
      <c r="C8" s="4"/>
      <c r="D8" s="4"/>
      <c r="E8" s="4"/>
      <c r="F8" s="4"/>
      <c r="G8" s="4"/>
      <c r="H8" s="5">
        <f>317.25</f>
        <v>317.25</v>
      </c>
      <c r="I8" s="4"/>
      <c r="J8" s="5">
        <f>400</f>
        <v>400</v>
      </c>
      <c r="K8" s="4"/>
      <c r="L8" s="4"/>
      <c r="M8" s="4"/>
      <c r="N8" s="5">
        <f>(((((((((((B8)+(C8))+(D8))+(E8))+(F8))+(G8))+(H8))+(I8))+(J8))+(K8))+(L8))+(M8)</f>
        <v>717.25</v>
      </c>
    </row>
    <row r="9" spans="1:14" x14ac:dyDescent="0.25">
      <c r="A9" s="3" t="s">
        <v>16</v>
      </c>
      <c r="B9" s="5">
        <f>8260</f>
        <v>8260</v>
      </c>
      <c r="C9" s="5">
        <f>6955</f>
        <v>6955</v>
      </c>
      <c r="D9" s="5">
        <f>15786</f>
        <v>15786</v>
      </c>
      <c r="E9" s="5">
        <f>7364</f>
        <v>7364</v>
      </c>
      <c r="F9" s="5">
        <f>7156</f>
        <v>7156</v>
      </c>
      <c r="G9" s="5">
        <f>9485</f>
        <v>9485</v>
      </c>
      <c r="H9" s="5">
        <f>10578.71</f>
        <v>10578.71</v>
      </c>
      <c r="I9" s="5">
        <f>8320</f>
        <v>8320</v>
      </c>
      <c r="J9" s="5">
        <f>7726.67</f>
        <v>7726.67</v>
      </c>
      <c r="K9" s="5">
        <f>7605</f>
        <v>7605</v>
      </c>
      <c r="L9" s="5">
        <f>7670</f>
        <v>7670</v>
      </c>
      <c r="M9" s="5">
        <f>8485</f>
        <v>8485</v>
      </c>
      <c r="N9" s="5">
        <f>(((((((((((B9)+(C9))+(D9))+(E9))+(F9))+(G9))+(H9))+(I9))+(J9))+(K9))+(L9))+(M9)</f>
        <v>105391.37999999999</v>
      </c>
    </row>
    <row r="10" spans="1:14" x14ac:dyDescent="0.25">
      <c r="A10" s="3" t="s">
        <v>17</v>
      </c>
      <c r="B10" s="6">
        <f t="shared" ref="B10:M10" si="0">((B7)+(B8))+(B9)</f>
        <v>8260</v>
      </c>
      <c r="C10" s="6">
        <f t="shared" si="0"/>
        <v>6955</v>
      </c>
      <c r="D10" s="6">
        <f t="shared" si="0"/>
        <v>15786</v>
      </c>
      <c r="E10" s="6">
        <f t="shared" si="0"/>
        <v>7364</v>
      </c>
      <c r="F10" s="6">
        <f t="shared" si="0"/>
        <v>7156</v>
      </c>
      <c r="G10" s="6">
        <f t="shared" si="0"/>
        <v>9525</v>
      </c>
      <c r="H10" s="6">
        <f t="shared" si="0"/>
        <v>10895.96</v>
      </c>
      <c r="I10" s="6">
        <f t="shared" si="0"/>
        <v>8320</v>
      </c>
      <c r="J10" s="6">
        <f t="shared" si="0"/>
        <v>8206.67</v>
      </c>
      <c r="K10" s="6">
        <f t="shared" si="0"/>
        <v>7605</v>
      </c>
      <c r="L10" s="6">
        <f t="shared" si="0"/>
        <v>7670</v>
      </c>
      <c r="M10" s="6">
        <f t="shared" si="0"/>
        <v>8485</v>
      </c>
      <c r="N10" s="6">
        <f>(((((((((((B10)+(C10))+(D10))+(E10))+(F10))+(G10))+(H10))+(I10))+(J10))+(K10))+(L10))+(M10)</f>
        <v>106228.62999999999</v>
      </c>
    </row>
    <row r="11" spans="1:14" x14ac:dyDescent="0.25">
      <c r="A11" s="3" t="s">
        <v>18</v>
      </c>
      <c r="B11" s="6">
        <f t="shared" ref="B11:M11" si="1">(B10)-(0)</f>
        <v>8260</v>
      </c>
      <c r="C11" s="6">
        <f t="shared" si="1"/>
        <v>6955</v>
      </c>
      <c r="D11" s="6">
        <f t="shared" si="1"/>
        <v>15786</v>
      </c>
      <c r="E11" s="6">
        <f t="shared" si="1"/>
        <v>7364</v>
      </c>
      <c r="F11" s="6">
        <f t="shared" si="1"/>
        <v>7156</v>
      </c>
      <c r="G11" s="6">
        <f t="shared" si="1"/>
        <v>9525</v>
      </c>
      <c r="H11" s="6">
        <f t="shared" si="1"/>
        <v>10895.96</v>
      </c>
      <c r="I11" s="6">
        <f t="shared" si="1"/>
        <v>8320</v>
      </c>
      <c r="J11" s="6">
        <f t="shared" si="1"/>
        <v>8206.67</v>
      </c>
      <c r="K11" s="6">
        <f t="shared" si="1"/>
        <v>7605</v>
      </c>
      <c r="L11" s="6">
        <f t="shared" si="1"/>
        <v>7670</v>
      </c>
      <c r="M11" s="6">
        <f t="shared" si="1"/>
        <v>8485</v>
      </c>
      <c r="N11" s="6">
        <f>(((((((((((B11)+(C11))+(D11))+(E11))+(F11))+(G11))+(H11))+(I11))+(J11))+(K11))+(L11))+(M11)</f>
        <v>106228.62999999999</v>
      </c>
    </row>
    <row r="12" spans="1:14" x14ac:dyDescent="0.25">
      <c r="A12" s="3" t="s">
        <v>19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3" t="s">
        <v>20</v>
      </c>
      <c r="B13" s="4"/>
      <c r="C13" s="4"/>
      <c r="D13" s="5">
        <v>0</v>
      </c>
      <c r="E13" s="4"/>
      <c r="F13" s="4"/>
      <c r="G13" s="4"/>
      <c r="H13" s="4"/>
      <c r="I13" s="4"/>
      <c r="J13" s="4"/>
      <c r="K13" s="4"/>
      <c r="L13" s="4"/>
      <c r="M13" s="4"/>
      <c r="N13" s="5">
        <f t="shared" ref="N13:N43" si="2">(((((((((((B13)+(C13))+(D13))+(E13))+(F13))+(G13))+(H13))+(I13))+(J13))+(K13))+(L13))+(M13)</f>
        <v>0</v>
      </c>
    </row>
    <row r="14" spans="1:14" x14ac:dyDescent="0.25">
      <c r="A14" s="3" t="s">
        <v>21</v>
      </c>
      <c r="B14" s="4"/>
      <c r="C14" s="4"/>
      <c r="D14" s="4"/>
      <c r="E14" s="4"/>
      <c r="F14" s="5">
        <v>0</v>
      </c>
      <c r="G14" s="4"/>
      <c r="H14" s="4"/>
      <c r="I14" s="4"/>
      <c r="J14" s="4"/>
      <c r="K14" s="4"/>
      <c r="L14" s="4"/>
      <c r="M14" s="4"/>
      <c r="N14" s="5">
        <f t="shared" si="2"/>
        <v>0</v>
      </c>
    </row>
    <row r="15" spans="1:14" x14ac:dyDescent="0.25">
      <c r="A15" s="3" t="s">
        <v>22</v>
      </c>
      <c r="B15" s="4"/>
      <c r="C15" s="4"/>
      <c r="D15" s="5">
        <f>1.59</f>
        <v>1.59</v>
      </c>
      <c r="E15" s="4"/>
      <c r="F15" s="4"/>
      <c r="G15" s="4"/>
      <c r="H15" s="5">
        <f>5.72</f>
        <v>5.72</v>
      </c>
      <c r="I15" s="5">
        <f>2.54</f>
        <v>2.54</v>
      </c>
      <c r="J15" s="5">
        <f>2.86</f>
        <v>2.86</v>
      </c>
      <c r="K15" s="4"/>
      <c r="L15" s="5">
        <f>4.28</f>
        <v>4.28</v>
      </c>
      <c r="M15" s="5">
        <f>4.28</f>
        <v>4.28</v>
      </c>
      <c r="N15" s="5">
        <f t="shared" si="2"/>
        <v>21.27</v>
      </c>
    </row>
    <row r="16" spans="1:14" x14ac:dyDescent="0.25">
      <c r="A16" s="3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>
        <f t="shared" si="2"/>
        <v>0</v>
      </c>
    </row>
    <row r="17" spans="1:14" x14ac:dyDescent="0.25">
      <c r="A17" s="3" t="s">
        <v>54</v>
      </c>
      <c r="B17" s="5">
        <f>4500/12</f>
        <v>375</v>
      </c>
      <c r="C17" s="5">
        <f t="shared" ref="C17:M17" si="3">4500/12</f>
        <v>375</v>
      </c>
      <c r="D17" s="5">
        <f t="shared" si="3"/>
        <v>375</v>
      </c>
      <c r="E17" s="5">
        <f t="shared" si="3"/>
        <v>375</v>
      </c>
      <c r="F17" s="5">
        <f t="shared" si="3"/>
        <v>375</v>
      </c>
      <c r="G17" s="5">
        <f t="shared" si="3"/>
        <v>375</v>
      </c>
      <c r="H17" s="5">
        <f t="shared" si="3"/>
        <v>375</v>
      </c>
      <c r="I17" s="5">
        <f t="shared" si="3"/>
        <v>375</v>
      </c>
      <c r="J17" s="5">
        <f t="shared" si="3"/>
        <v>375</v>
      </c>
      <c r="K17" s="5">
        <f t="shared" si="3"/>
        <v>375</v>
      </c>
      <c r="L17" s="5">
        <f t="shared" si="3"/>
        <v>375</v>
      </c>
      <c r="M17" s="5">
        <f t="shared" si="3"/>
        <v>375</v>
      </c>
      <c r="N17" s="5">
        <f t="shared" si="2"/>
        <v>4500</v>
      </c>
    </row>
    <row r="18" spans="1:14" x14ac:dyDescent="0.25">
      <c r="A18" s="3" t="s">
        <v>24</v>
      </c>
      <c r="B18" s="6">
        <f t="shared" ref="B18:M18" si="4">(B16)+(B17)</f>
        <v>375</v>
      </c>
      <c r="C18" s="6">
        <f t="shared" si="4"/>
        <v>375</v>
      </c>
      <c r="D18" s="6">
        <f t="shared" si="4"/>
        <v>375</v>
      </c>
      <c r="E18" s="6">
        <f t="shared" si="4"/>
        <v>375</v>
      </c>
      <c r="F18" s="6">
        <f t="shared" si="4"/>
        <v>375</v>
      </c>
      <c r="G18" s="6">
        <f t="shared" si="4"/>
        <v>375</v>
      </c>
      <c r="H18" s="6">
        <f t="shared" si="4"/>
        <v>375</v>
      </c>
      <c r="I18" s="6">
        <f t="shared" si="4"/>
        <v>375</v>
      </c>
      <c r="J18" s="6">
        <f t="shared" si="4"/>
        <v>375</v>
      </c>
      <c r="K18" s="6">
        <f t="shared" si="4"/>
        <v>375</v>
      </c>
      <c r="L18" s="6">
        <f t="shared" si="4"/>
        <v>375</v>
      </c>
      <c r="M18" s="6">
        <f t="shared" si="4"/>
        <v>375</v>
      </c>
      <c r="N18" s="6">
        <f t="shared" si="2"/>
        <v>4500</v>
      </c>
    </row>
    <row r="19" spans="1:14" x14ac:dyDescent="0.25">
      <c r="A19" s="3" t="s">
        <v>25</v>
      </c>
      <c r="B19" s="4"/>
      <c r="C19" s="4"/>
      <c r="D19" s="4"/>
      <c r="E19" s="4"/>
      <c r="F19" s="4"/>
      <c r="G19" s="4"/>
      <c r="H19" s="5">
        <f>64.2</f>
        <v>64.2</v>
      </c>
      <c r="I19" s="4"/>
      <c r="J19" s="4"/>
      <c r="K19" s="4"/>
      <c r="L19" s="4"/>
      <c r="M19" s="4"/>
      <c r="N19" s="5">
        <f t="shared" si="2"/>
        <v>64.2</v>
      </c>
    </row>
    <row r="20" spans="1:14" x14ac:dyDescent="0.25">
      <c r="A20" s="3" t="s">
        <v>26</v>
      </c>
      <c r="B20" s="5">
        <f>190</f>
        <v>190</v>
      </c>
      <c r="C20" s="4"/>
      <c r="D20" s="5">
        <f>342.4</f>
        <v>342.4</v>
      </c>
      <c r="E20" s="4"/>
      <c r="F20" s="4"/>
      <c r="G20" s="5">
        <f>78.92</f>
        <v>78.92</v>
      </c>
      <c r="H20" s="5">
        <f>164.78</f>
        <v>164.78</v>
      </c>
      <c r="I20" s="4"/>
      <c r="J20" s="4"/>
      <c r="K20" s="5">
        <v>0</v>
      </c>
      <c r="L20" s="4"/>
      <c r="M20" s="4"/>
      <c r="N20" s="5">
        <f t="shared" si="2"/>
        <v>776.09999999999991</v>
      </c>
    </row>
    <row r="21" spans="1:14" x14ac:dyDescent="0.25">
      <c r="A21" s="3" t="s">
        <v>27</v>
      </c>
      <c r="B21" s="5">
        <f>37.5</f>
        <v>37.5</v>
      </c>
      <c r="C21" s="4"/>
      <c r="D21" s="4"/>
      <c r="E21" s="4"/>
      <c r="F21" s="5">
        <f>4.33</f>
        <v>4.33</v>
      </c>
      <c r="G21" s="5">
        <f>4.33</f>
        <v>4.33</v>
      </c>
      <c r="H21" s="4"/>
      <c r="I21" s="4"/>
      <c r="J21" s="4"/>
      <c r="K21" s="4"/>
      <c r="L21" s="4"/>
      <c r="M21" s="4"/>
      <c r="N21" s="5">
        <f t="shared" si="2"/>
        <v>46.16</v>
      </c>
    </row>
    <row r="22" spans="1:14" x14ac:dyDescent="0.25">
      <c r="A22" s="3" t="s">
        <v>28</v>
      </c>
      <c r="B22" s="4"/>
      <c r="C22" s="4"/>
      <c r="D22" s="4"/>
      <c r="E22" s="4"/>
      <c r="F22" s="5">
        <f>3996.32</f>
        <v>3996.32</v>
      </c>
      <c r="G22" s="5">
        <f>758.8</f>
        <v>758.8</v>
      </c>
      <c r="H22" s="5">
        <f>1182.3</f>
        <v>1182.3</v>
      </c>
      <c r="I22" s="5">
        <f>727.6</f>
        <v>727.6</v>
      </c>
      <c r="J22" s="5">
        <f>654</f>
        <v>654</v>
      </c>
      <c r="K22" s="5">
        <f>861.6</f>
        <v>861.6</v>
      </c>
      <c r="L22" s="5">
        <f>1150.08</f>
        <v>1150.08</v>
      </c>
      <c r="M22" s="5">
        <f>616.8</f>
        <v>616.79999999999995</v>
      </c>
      <c r="N22" s="5">
        <f t="shared" si="2"/>
        <v>9947.5</v>
      </c>
    </row>
    <row r="23" spans="1:14" x14ac:dyDescent="0.25">
      <c r="A23" s="3" t="s">
        <v>29</v>
      </c>
      <c r="B23" s="4"/>
      <c r="C23" s="4"/>
      <c r="D23" s="5">
        <f>6360.3</f>
        <v>6360.3</v>
      </c>
      <c r="E23" s="4"/>
      <c r="F23" s="4"/>
      <c r="G23" s="4"/>
      <c r="H23" s="4"/>
      <c r="I23" s="4"/>
      <c r="J23" s="4"/>
      <c r="K23" s="5">
        <f>7489.8</f>
        <v>7489.8</v>
      </c>
      <c r="L23" s="4"/>
      <c r="M23" s="4"/>
      <c r="N23" s="5">
        <f t="shared" si="2"/>
        <v>13850.1</v>
      </c>
    </row>
    <row r="24" spans="1:14" x14ac:dyDescent="0.25">
      <c r="A24" s="3" t="s">
        <v>30</v>
      </c>
      <c r="B24" s="4"/>
      <c r="C24" s="4"/>
      <c r="D24" s="4"/>
      <c r="E24" s="4"/>
      <c r="F24" s="4"/>
      <c r="G24" s="4"/>
      <c r="H24" s="4"/>
      <c r="I24" s="4"/>
      <c r="J24" s="4"/>
      <c r="K24" s="5">
        <v>0</v>
      </c>
      <c r="L24" s="4"/>
      <c r="M24" s="4"/>
      <c r="N24" s="5">
        <f t="shared" si="2"/>
        <v>0</v>
      </c>
    </row>
    <row r="25" spans="1:14" x14ac:dyDescent="0.25">
      <c r="A25" s="3" t="s">
        <v>31</v>
      </c>
      <c r="B25" s="4"/>
      <c r="C25" s="4"/>
      <c r="D25" s="4"/>
      <c r="E25" s="4"/>
      <c r="F25" s="5">
        <f>45.78</f>
        <v>45.78</v>
      </c>
      <c r="G25" s="4"/>
      <c r="H25" s="4"/>
      <c r="I25" s="4"/>
      <c r="J25" s="4"/>
      <c r="K25" s="4"/>
      <c r="L25" s="4"/>
      <c r="M25" s="4"/>
      <c r="N25" s="5">
        <f t="shared" si="2"/>
        <v>45.78</v>
      </c>
    </row>
    <row r="26" spans="1:14" x14ac:dyDescent="0.25">
      <c r="A26" s="3" t="s">
        <v>32</v>
      </c>
      <c r="B26" s="4"/>
      <c r="C26" s="4"/>
      <c r="D26" s="5">
        <v>100</v>
      </c>
      <c r="E26" s="4"/>
      <c r="F26" s="5">
        <v>100</v>
      </c>
      <c r="G26" s="4"/>
      <c r="H26" s="4"/>
      <c r="I26" s="4"/>
      <c r="J26" s="4"/>
      <c r="K26" s="5">
        <f>140</f>
        <v>140</v>
      </c>
      <c r="L26" s="5">
        <v>140</v>
      </c>
      <c r="M26" s="4"/>
      <c r="N26" s="5">
        <f t="shared" si="2"/>
        <v>480</v>
      </c>
    </row>
    <row r="27" spans="1:14" x14ac:dyDescent="0.25">
      <c r="A27" s="3" t="s">
        <v>33</v>
      </c>
      <c r="B27" s="4"/>
      <c r="C27" s="4"/>
      <c r="D27" s="4"/>
      <c r="E27" s="4"/>
      <c r="F27" s="4"/>
      <c r="G27" s="4"/>
      <c r="H27" s="4"/>
      <c r="I27" s="4"/>
      <c r="J27" s="4"/>
      <c r="K27" s="5">
        <f>360</f>
        <v>360</v>
      </c>
      <c r="L27" s="4"/>
      <c r="M27" s="4"/>
      <c r="N27" s="5">
        <f t="shared" si="2"/>
        <v>360</v>
      </c>
    </row>
    <row r="28" spans="1:14" x14ac:dyDescent="0.25">
      <c r="A28" s="3" t="s">
        <v>34</v>
      </c>
      <c r="B28" s="4"/>
      <c r="C28" s="4"/>
      <c r="D28" s="5">
        <f>18.43</f>
        <v>18.43</v>
      </c>
      <c r="E28" s="5">
        <f>79.14</f>
        <v>79.14</v>
      </c>
      <c r="F28" s="5">
        <v>50</v>
      </c>
      <c r="G28" s="5">
        <f>105.39</f>
        <v>105.39</v>
      </c>
      <c r="H28" s="4"/>
      <c r="I28" s="4"/>
      <c r="J28" s="4"/>
      <c r="K28" s="4"/>
      <c r="L28" s="4"/>
      <c r="M28" s="5">
        <v>50</v>
      </c>
      <c r="N28" s="5">
        <f t="shared" si="2"/>
        <v>302.95999999999998</v>
      </c>
    </row>
    <row r="29" spans="1:14" x14ac:dyDescent="0.25">
      <c r="A29" s="3" t="s">
        <v>35</v>
      </c>
      <c r="B29" s="4"/>
      <c r="C29" s="4"/>
      <c r="D29" s="4"/>
      <c r="E29" s="4"/>
      <c r="F29" s="4"/>
      <c r="G29" s="4"/>
      <c r="H29" s="4"/>
      <c r="I29" s="4"/>
      <c r="J29" s="4"/>
      <c r="K29" s="5">
        <f>540</f>
        <v>540</v>
      </c>
      <c r="L29" s="5">
        <f>160</f>
        <v>160</v>
      </c>
      <c r="M29" s="4"/>
      <c r="N29" s="5">
        <f t="shared" si="2"/>
        <v>700</v>
      </c>
    </row>
    <row r="30" spans="1:14" x14ac:dyDescent="0.25">
      <c r="A30" s="3" t="s">
        <v>36</v>
      </c>
      <c r="B30" s="5">
        <f>100*5</f>
        <v>500</v>
      </c>
      <c r="C30" s="4">
        <v>500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5">
        <f t="shared" si="2"/>
        <v>1000</v>
      </c>
    </row>
    <row r="31" spans="1:14" x14ac:dyDescent="0.25">
      <c r="A31" s="3" t="s">
        <v>37</v>
      </c>
      <c r="B31" s="6">
        <f t="shared" ref="B31:M31" si="5">(((((B25)+(B26))+(B27))+(B28))+(B29))+(B30)</f>
        <v>500</v>
      </c>
      <c r="C31" s="6">
        <f t="shared" si="5"/>
        <v>500</v>
      </c>
      <c r="D31" s="6">
        <f t="shared" si="5"/>
        <v>118.43</v>
      </c>
      <c r="E31" s="6">
        <f t="shared" si="5"/>
        <v>79.14</v>
      </c>
      <c r="F31" s="6">
        <f t="shared" si="5"/>
        <v>195.78</v>
      </c>
      <c r="G31" s="6">
        <f t="shared" si="5"/>
        <v>105.39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1040</v>
      </c>
      <c r="L31" s="6">
        <f t="shared" si="5"/>
        <v>300</v>
      </c>
      <c r="M31" s="6">
        <f t="shared" si="5"/>
        <v>50</v>
      </c>
      <c r="N31" s="6">
        <f t="shared" si="2"/>
        <v>2888.7400000000002</v>
      </c>
    </row>
    <row r="32" spans="1:14" x14ac:dyDescent="0.25">
      <c r="A32" s="3" t="s">
        <v>38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>
        <v>0</v>
      </c>
      <c r="N32" s="5">
        <f t="shared" si="2"/>
        <v>0</v>
      </c>
    </row>
    <row r="33" spans="1:14" x14ac:dyDescent="0.25">
      <c r="A33" s="3" t="s">
        <v>39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>
        <v>0</v>
      </c>
      <c r="N33" s="5">
        <f t="shared" si="2"/>
        <v>0</v>
      </c>
    </row>
    <row r="34" spans="1:14" x14ac:dyDescent="0.25">
      <c r="A34" s="3" t="s">
        <v>40</v>
      </c>
      <c r="B34" s="6">
        <f t="shared" ref="B34:M34" si="6">(B32)+(B33)</f>
        <v>0</v>
      </c>
      <c r="C34" s="6">
        <f t="shared" si="6"/>
        <v>0</v>
      </c>
      <c r="D34" s="6">
        <f t="shared" si="6"/>
        <v>0</v>
      </c>
      <c r="E34" s="6">
        <f t="shared" si="6"/>
        <v>0</v>
      </c>
      <c r="F34" s="6">
        <f t="shared" si="6"/>
        <v>0</v>
      </c>
      <c r="G34" s="6">
        <f t="shared" si="6"/>
        <v>0</v>
      </c>
      <c r="H34" s="6">
        <f t="shared" si="6"/>
        <v>0</v>
      </c>
      <c r="I34" s="6">
        <f t="shared" si="6"/>
        <v>0</v>
      </c>
      <c r="J34" s="6">
        <f t="shared" si="6"/>
        <v>0</v>
      </c>
      <c r="K34" s="6">
        <f t="shared" si="6"/>
        <v>0</v>
      </c>
      <c r="L34" s="6">
        <f t="shared" si="6"/>
        <v>0</v>
      </c>
      <c r="M34" s="6">
        <f t="shared" si="6"/>
        <v>0</v>
      </c>
      <c r="N34" s="6">
        <f t="shared" si="2"/>
        <v>0</v>
      </c>
    </row>
    <row r="35" spans="1:14" x14ac:dyDescent="0.25">
      <c r="A35" s="3" t="s">
        <v>41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>
        <f t="shared" si="2"/>
        <v>0</v>
      </c>
    </row>
    <row r="36" spans="1:14" x14ac:dyDescent="0.25">
      <c r="A36" s="3" t="s">
        <v>42</v>
      </c>
      <c r="B36" s="5">
        <f t="shared" ref="B36:M36" si="7">69.99</f>
        <v>69.989999999999995</v>
      </c>
      <c r="C36" s="5">
        <f t="shared" si="7"/>
        <v>69.989999999999995</v>
      </c>
      <c r="D36" s="5">
        <f t="shared" si="7"/>
        <v>69.989999999999995</v>
      </c>
      <c r="E36" s="5">
        <f t="shared" si="7"/>
        <v>69.989999999999995</v>
      </c>
      <c r="F36" s="5">
        <f t="shared" si="7"/>
        <v>69.989999999999995</v>
      </c>
      <c r="G36" s="5">
        <f t="shared" si="7"/>
        <v>69.989999999999995</v>
      </c>
      <c r="H36" s="5">
        <f t="shared" si="7"/>
        <v>69.989999999999995</v>
      </c>
      <c r="I36" s="5">
        <f t="shared" si="7"/>
        <v>69.989999999999995</v>
      </c>
      <c r="J36" s="5">
        <f t="shared" si="7"/>
        <v>69.989999999999995</v>
      </c>
      <c r="K36" s="5">
        <f t="shared" si="7"/>
        <v>69.989999999999995</v>
      </c>
      <c r="L36" s="5">
        <f t="shared" si="7"/>
        <v>69.989999999999995</v>
      </c>
      <c r="M36" s="5">
        <f t="shared" si="7"/>
        <v>69.989999999999995</v>
      </c>
      <c r="N36" s="5">
        <f t="shared" si="2"/>
        <v>839.88</v>
      </c>
    </row>
    <row r="37" spans="1:14" x14ac:dyDescent="0.25">
      <c r="A37" s="3" t="s">
        <v>43</v>
      </c>
      <c r="B37" s="5">
        <f>96.39</f>
        <v>96.39</v>
      </c>
      <c r="C37" s="5">
        <f>267.74</f>
        <v>267.74</v>
      </c>
      <c r="D37" s="5">
        <f>314.5</f>
        <v>314.5</v>
      </c>
      <c r="E37" s="5">
        <f>99.96</f>
        <v>99.96</v>
      </c>
      <c r="F37" s="5">
        <f>355.6</f>
        <v>355.6</v>
      </c>
      <c r="G37" s="5">
        <f>230.49</f>
        <v>230.49</v>
      </c>
      <c r="H37" s="5">
        <f>94.52</f>
        <v>94.52</v>
      </c>
      <c r="I37" s="5">
        <f>409.25</f>
        <v>409.25</v>
      </c>
      <c r="J37" s="5">
        <f>179.6</f>
        <v>179.6</v>
      </c>
      <c r="K37" s="5">
        <f>152.5</f>
        <v>152.5</v>
      </c>
      <c r="L37" s="5">
        <f>147.29</f>
        <v>147.29</v>
      </c>
      <c r="M37" s="5">
        <f>197.74</f>
        <v>197.74</v>
      </c>
      <c r="N37" s="5">
        <f t="shared" si="2"/>
        <v>2545.58</v>
      </c>
    </row>
    <row r="38" spans="1:14" x14ac:dyDescent="0.25">
      <c r="A38" s="3" t="s">
        <v>44</v>
      </c>
      <c r="B38" s="5">
        <f>107.97</f>
        <v>107.97</v>
      </c>
      <c r="C38" s="5">
        <f>107.97</f>
        <v>107.97</v>
      </c>
      <c r="D38" s="5">
        <f>112.83</f>
        <v>112.83</v>
      </c>
      <c r="E38" s="5">
        <f>119.23</f>
        <v>119.23</v>
      </c>
      <c r="F38" s="5">
        <f>119.23</f>
        <v>119.23</v>
      </c>
      <c r="G38" s="5">
        <f>119.23</f>
        <v>119.23</v>
      </c>
      <c r="H38" s="5">
        <f>131.09</f>
        <v>131.09</v>
      </c>
      <c r="I38" s="5">
        <f>128.64</f>
        <v>128.63999999999999</v>
      </c>
      <c r="J38" s="5">
        <f>122.92</f>
        <v>122.92</v>
      </c>
      <c r="K38" s="5">
        <f>122.92</f>
        <v>122.92</v>
      </c>
      <c r="L38" s="5">
        <f>127.94</f>
        <v>127.94</v>
      </c>
      <c r="M38" s="5">
        <f>148.01</f>
        <v>148.01</v>
      </c>
      <c r="N38" s="5">
        <f t="shared" si="2"/>
        <v>1467.9800000000002</v>
      </c>
    </row>
    <row r="39" spans="1:14" x14ac:dyDescent="0.25">
      <c r="A39" s="3" t="s">
        <v>45</v>
      </c>
      <c r="B39" s="5">
        <f>548.2</f>
        <v>548.20000000000005</v>
      </c>
      <c r="C39" s="5">
        <f>477.08</f>
        <v>477.08</v>
      </c>
      <c r="D39" s="5">
        <f>1168.88</f>
        <v>1168.8800000000001</v>
      </c>
      <c r="E39" s="4"/>
      <c r="F39" s="5">
        <f>682.17</f>
        <v>682.17</v>
      </c>
      <c r="G39" s="5">
        <f>721.62</f>
        <v>721.62</v>
      </c>
      <c r="H39" s="5">
        <f>762.62</f>
        <v>762.62</v>
      </c>
      <c r="I39" s="5">
        <f>706.14</f>
        <v>706.14</v>
      </c>
      <c r="J39" s="5">
        <f>802.78</f>
        <v>802.78</v>
      </c>
      <c r="K39" s="5">
        <f>672.85</f>
        <v>672.85</v>
      </c>
      <c r="L39" s="5">
        <f>895.14</f>
        <v>895.14</v>
      </c>
      <c r="M39" s="5">
        <f>821.15</f>
        <v>821.15</v>
      </c>
      <c r="N39" s="5">
        <f t="shared" si="2"/>
        <v>8258.630000000001</v>
      </c>
    </row>
    <row r="40" spans="1:14" x14ac:dyDescent="0.25">
      <c r="A40" s="3" t="s">
        <v>46</v>
      </c>
      <c r="B40" s="6">
        <f t="shared" ref="B40:M40" si="8">((((B35)+(B36))+(B37))+(B38))+(B39)</f>
        <v>822.55000000000007</v>
      </c>
      <c r="C40" s="6">
        <f t="shared" si="8"/>
        <v>922.78</v>
      </c>
      <c r="D40" s="6">
        <f t="shared" si="8"/>
        <v>1666.2</v>
      </c>
      <c r="E40" s="6">
        <f t="shared" si="8"/>
        <v>289.18</v>
      </c>
      <c r="F40" s="6">
        <f t="shared" si="8"/>
        <v>1226.99</v>
      </c>
      <c r="G40" s="6">
        <f t="shared" si="8"/>
        <v>1141.33</v>
      </c>
      <c r="H40" s="6">
        <f t="shared" si="8"/>
        <v>1058.22</v>
      </c>
      <c r="I40" s="6">
        <f t="shared" si="8"/>
        <v>1314.02</v>
      </c>
      <c r="J40" s="6">
        <f t="shared" si="8"/>
        <v>1175.29</v>
      </c>
      <c r="K40" s="6">
        <f t="shared" si="8"/>
        <v>1018.26</v>
      </c>
      <c r="L40" s="6">
        <f t="shared" si="8"/>
        <v>1240.3599999999999</v>
      </c>
      <c r="M40" s="6">
        <f t="shared" si="8"/>
        <v>1236.8899999999999</v>
      </c>
      <c r="N40" s="6">
        <f t="shared" si="2"/>
        <v>13112.070000000002</v>
      </c>
    </row>
    <row r="41" spans="1:14" x14ac:dyDescent="0.25">
      <c r="A41" s="3" t="s">
        <v>47</v>
      </c>
      <c r="B41" s="6">
        <f t="shared" ref="B41:M41" si="9">((((((((((((B13)+(B14))+(B15))+(B18))+(B19))+(B20))+(B21))+(B22))+(B23))+(B24))+(B31))+(B34))+(B40)</f>
        <v>1925.0500000000002</v>
      </c>
      <c r="C41" s="6">
        <f t="shared" si="9"/>
        <v>1797.78</v>
      </c>
      <c r="D41" s="6">
        <f t="shared" si="9"/>
        <v>8863.92</v>
      </c>
      <c r="E41" s="6">
        <f t="shared" si="9"/>
        <v>743.31999999999994</v>
      </c>
      <c r="F41" s="6">
        <f t="shared" si="9"/>
        <v>5798.42</v>
      </c>
      <c r="G41" s="6">
        <f t="shared" si="9"/>
        <v>2463.77</v>
      </c>
      <c r="H41" s="6">
        <f t="shared" si="9"/>
        <v>2850.2200000000003</v>
      </c>
      <c r="I41" s="6">
        <f t="shared" si="9"/>
        <v>2419.16</v>
      </c>
      <c r="J41" s="6">
        <f t="shared" si="9"/>
        <v>2207.15</v>
      </c>
      <c r="K41" s="6">
        <f t="shared" si="9"/>
        <v>10784.66</v>
      </c>
      <c r="L41" s="6">
        <f t="shared" si="9"/>
        <v>3069.72</v>
      </c>
      <c r="M41" s="6">
        <f t="shared" si="9"/>
        <v>2282.9699999999998</v>
      </c>
      <c r="N41" s="6">
        <f t="shared" si="2"/>
        <v>45206.14</v>
      </c>
    </row>
    <row r="42" spans="1:14" x14ac:dyDescent="0.25">
      <c r="A42" s="3" t="s">
        <v>48</v>
      </c>
      <c r="B42" s="6">
        <f t="shared" ref="B42:M42" si="10">(B11)-(B41)</f>
        <v>6334.95</v>
      </c>
      <c r="C42" s="6">
        <f t="shared" si="10"/>
        <v>5157.22</v>
      </c>
      <c r="D42" s="6">
        <f t="shared" si="10"/>
        <v>6922.08</v>
      </c>
      <c r="E42" s="6">
        <f t="shared" si="10"/>
        <v>6620.68</v>
      </c>
      <c r="F42" s="7">
        <f t="shared" si="10"/>
        <v>1357.58</v>
      </c>
      <c r="G42" s="6">
        <f t="shared" si="10"/>
        <v>7061.23</v>
      </c>
      <c r="H42" s="6">
        <f t="shared" si="10"/>
        <v>8045.7399999999989</v>
      </c>
      <c r="I42" s="6">
        <f t="shared" si="10"/>
        <v>5900.84</v>
      </c>
      <c r="J42" s="6">
        <f t="shared" si="10"/>
        <v>5999.52</v>
      </c>
      <c r="K42" s="7">
        <f t="shared" si="10"/>
        <v>-3179.66</v>
      </c>
      <c r="L42" s="6">
        <f t="shared" si="10"/>
        <v>4600.2800000000007</v>
      </c>
      <c r="M42" s="6">
        <f t="shared" si="10"/>
        <v>6202.0300000000007</v>
      </c>
      <c r="N42" s="6">
        <f t="shared" si="2"/>
        <v>61022.490000000005</v>
      </c>
    </row>
    <row r="43" spans="1:14" x14ac:dyDescent="0.25">
      <c r="A43" s="3" t="s">
        <v>49</v>
      </c>
      <c r="B43" s="8">
        <f t="shared" ref="B43:M43" si="11">(B42)+(0)</f>
        <v>6334.95</v>
      </c>
      <c r="C43" s="8">
        <f t="shared" si="11"/>
        <v>5157.22</v>
      </c>
      <c r="D43" s="8">
        <f t="shared" si="11"/>
        <v>6922.08</v>
      </c>
      <c r="E43" s="8">
        <f t="shared" si="11"/>
        <v>6620.68</v>
      </c>
      <c r="F43" s="9">
        <f t="shared" si="11"/>
        <v>1357.58</v>
      </c>
      <c r="G43" s="8">
        <f t="shared" si="11"/>
        <v>7061.23</v>
      </c>
      <c r="H43" s="8">
        <f t="shared" si="11"/>
        <v>8045.7399999999989</v>
      </c>
      <c r="I43" s="8">
        <f t="shared" si="11"/>
        <v>5900.84</v>
      </c>
      <c r="J43" s="8">
        <f t="shared" si="11"/>
        <v>5999.52</v>
      </c>
      <c r="K43" s="9">
        <f t="shared" si="11"/>
        <v>-3179.66</v>
      </c>
      <c r="L43" s="8">
        <f t="shared" si="11"/>
        <v>4600.2800000000007</v>
      </c>
      <c r="M43" s="8">
        <f t="shared" si="11"/>
        <v>6202.0300000000007</v>
      </c>
      <c r="N43" s="8">
        <f t="shared" si="2"/>
        <v>61022.490000000005</v>
      </c>
    </row>
    <row r="44" spans="1:14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15"/>
    </row>
    <row r="45" spans="1:14" x14ac:dyDescent="0.25">
      <c r="N45" s="5"/>
    </row>
    <row r="47" spans="1:14" x14ac:dyDescent="0.25">
      <c r="A47" s="10" t="s">
        <v>50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mergeCells count="4">
    <mergeCell ref="A47:N47"/>
    <mergeCell ref="A1:N1"/>
    <mergeCell ref="A2:N2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06D27-C5D6-4061-A92C-97A9AF838D9E}">
  <dimension ref="A1:X47"/>
  <sheetViews>
    <sheetView tabSelected="1" zoomScale="115" zoomScaleNormal="115" workbookViewId="0">
      <pane xSplit="1" ySplit="5" topLeftCell="C12" activePane="bottomRight" state="frozen"/>
      <selection pane="topRight" activeCell="B1" sqref="B1"/>
      <selection pane="bottomLeft" activeCell="A6" sqref="A6"/>
      <selection pane="bottomRight" activeCell="X19" sqref="X19"/>
    </sheetView>
  </sheetViews>
  <sheetFormatPr defaultRowHeight="15" x14ac:dyDescent="0.25"/>
  <cols>
    <col min="1" max="1" width="29.28515625" customWidth="1"/>
    <col min="2" max="13" width="7.7109375" customWidth="1"/>
    <col min="14" max="14" width="8.28515625" bestFit="1" customWidth="1"/>
    <col min="15" max="15" width="13.42578125" bestFit="1" customWidth="1"/>
    <col min="16" max="16" width="12.28515625" bestFit="1" customWidth="1"/>
    <col min="23" max="24" width="12.140625" customWidth="1"/>
  </cols>
  <sheetData>
    <row r="1" spans="1:24" ht="18" x14ac:dyDescent="0.25">
      <c r="A1" s="12" t="s">
        <v>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4" ht="18" x14ac:dyDescent="0.25">
      <c r="A2" s="12" t="s">
        <v>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24" x14ac:dyDescent="0.25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5" spans="1:24" ht="34.5" x14ac:dyDescent="0.25">
      <c r="A5" s="1"/>
      <c r="B5" s="2" t="s">
        <v>75</v>
      </c>
      <c r="C5" s="2" t="s">
        <v>76</v>
      </c>
      <c r="D5" s="2" t="s">
        <v>77</v>
      </c>
      <c r="E5" s="2" t="s">
        <v>78</v>
      </c>
      <c r="F5" s="2" t="s">
        <v>79</v>
      </c>
      <c r="G5" s="2" t="s">
        <v>80</v>
      </c>
      <c r="H5" s="2" t="s">
        <v>81</v>
      </c>
      <c r="I5" s="2" t="s">
        <v>82</v>
      </c>
      <c r="J5" s="2" t="s">
        <v>83</v>
      </c>
      <c r="K5" s="2" t="s">
        <v>84</v>
      </c>
      <c r="L5" s="2" t="s">
        <v>85</v>
      </c>
      <c r="M5" s="2" t="s">
        <v>86</v>
      </c>
      <c r="N5" s="2" t="s">
        <v>12</v>
      </c>
      <c r="U5" s="3" t="s">
        <v>58</v>
      </c>
      <c r="V5" s="3" t="s">
        <v>59</v>
      </c>
      <c r="W5" s="3" t="s">
        <v>74</v>
      </c>
      <c r="X5" s="18" t="s">
        <v>73</v>
      </c>
    </row>
    <row r="6" spans="1:24" x14ac:dyDescent="0.25">
      <c r="A6" s="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U6" s="3" t="s">
        <v>60</v>
      </c>
      <c r="V6" s="3" t="s">
        <v>61</v>
      </c>
      <c r="W6" s="17">
        <v>850</v>
      </c>
      <c r="X6" s="17">
        <v>875</v>
      </c>
    </row>
    <row r="7" spans="1:24" x14ac:dyDescent="0.25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>
        <f>(((((((((((B7)+(C7))+(D7))+(E7))+(F7))+(G7))+(H7))+(I7))+(J7))+(K7))+(L7))+(M7)</f>
        <v>0</v>
      </c>
      <c r="P7" t="s">
        <v>55</v>
      </c>
      <c r="Q7" s="16">
        <v>0.05</v>
      </c>
      <c r="U7" s="3" t="s">
        <v>62</v>
      </c>
      <c r="V7" s="3" t="s">
        <v>61</v>
      </c>
      <c r="W7" s="17">
        <v>850</v>
      </c>
      <c r="X7" s="17">
        <v>875</v>
      </c>
    </row>
    <row r="8" spans="1:24" x14ac:dyDescent="0.25">
      <c r="A8" s="3" t="s">
        <v>15</v>
      </c>
      <c r="B8" s="4">
        <f>50</f>
        <v>50</v>
      </c>
      <c r="C8" s="4">
        <f>50</f>
        <v>50</v>
      </c>
      <c r="D8" s="4">
        <f>50</f>
        <v>50</v>
      </c>
      <c r="E8" s="4">
        <f>50</f>
        <v>50</v>
      </c>
      <c r="F8" s="4">
        <f>50</f>
        <v>50</v>
      </c>
      <c r="G8" s="4">
        <f>50</f>
        <v>50</v>
      </c>
      <c r="H8" s="4">
        <f>50</f>
        <v>50</v>
      </c>
      <c r="I8" s="4">
        <f>50</f>
        <v>50</v>
      </c>
      <c r="J8" s="4">
        <f>50</f>
        <v>50</v>
      </c>
      <c r="K8" s="4">
        <f>50</f>
        <v>50</v>
      </c>
      <c r="L8" s="4">
        <f>50</f>
        <v>50</v>
      </c>
      <c r="M8" s="4">
        <f>50</f>
        <v>50</v>
      </c>
      <c r="N8" s="5">
        <f>(((((((((((B8)+(C8))+(D8))+(E8))+(F8))+(G8))+(H8))+(I8))+(J8))+(K8))+(L8))+(M8)</f>
        <v>600</v>
      </c>
      <c r="U8" s="3" t="s">
        <v>63</v>
      </c>
      <c r="V8" s="3" t="s">
        <v>61</v>
      </c>
      <c r="W8" s="17">
        <v>850</v>
      </c>
      <c r="X8" s="17">
        <v>875</v>
      </c>
    </row>
    <row r="9" spans="1:24" x14ac:dyDescent="0.25">
      <c r="A9" s="3" t="s">
        <v>16</v>
      </c>
      <c r="B9" s="5">
        <f>$W$18*(1-$Q$7)</f>
        <v>9609.25</v>
      </c>
      <c r="C9" s="5">
        <f t="shared" ref="C9:M9" si="0">$W$18*(1-$Q$7)</f>
        <v>9609.25</v>
      </c>
      <c r="D9" s="5">
        <f t="shared" si="0"/>
        <v>9609.25</v>
      </c>
      <c r="E9" s="5">
        <f t="shared" si="0"/>
        <v>9609.25</v>
      </c>
      <c r="F9" s="5">
        <f t="shared" si="0"/>
        <v>9609.25</v>
      </c>
      <c r="G9" s="5">
        <f t="shared" si="0"/>
        <v>9609.25</v>
      </c>
      <c r="H9" s="5">
        <f t="shared" si="0"/>
        <v>9609.25</v>
      </c>
      <c r="I9" s="5">
        <f t="shared" si="0"/>
        <v>9609.25</v>
      </c>
      <c r="J9" s="5">
        <f t="shared" si="0"/>
        <v>9609.25</v>
      </c>
      <c r="K9" s="5">
        <f t="shared" si="0"/>
        <v>9609.25</v>
      </c>
      <c r="L9" s="5">
        <f t="shared" si="0"/>
        <v>9609.25</v>
      </c>
      <c r="M9" s="5">
        <f t="shared" si="0"/>
        <v>9609.25</v>
      </c>
      <c r="N9" s="5">
        <f>(((((((((((B9)+(C9))+(D9))+(E9))+(F9))+(G9))+(H9))+(I9))+(J9))+(K9))+(L9))+(M9)</f>
        <v>115311</v>
      </c>
      <c r="U9" s="3" t="s">
        <v>64</v>
      </c>
      <c r="V9" s="3" t="s">
        <v>61</v>
      </c>
      <c r="W9" s="17">
        <v>850</v>
      </c>
      <c r="X9" s="17">
        <v>875</v>
      </c>
    </row>
    <row r="10" spans="1:24" x14ac:dyDescent="0.25">
      <c r="A10" s="3" t="s">
        <v>17</v>
      </c>
      <c r="B10" s="6">
        <f t="shared" ref="B10:M10" si="1">((B7)+(B8))+(B9)</f>
        <v>9659.25</v>
      </c>
      <c r="C10" s="6">
        <f t="shared" si="1"/>
        <v>9659.25</v>
      </c>
      <c r="D10" s="6">
        <f t="shared" si="1"/>
        <v>9659.25</v>
      </c>
      <c r="E10" s="6">
        <f t="shared" si="1"/>
        <v>9659.25</v>
      </c>
      <c r="F10" s="6">
        <f t="shared" si="1"/>
        <v>9659.25</v>
      </c>
      <c r="G10" s="6">
        <f t="shared" si="1"/>
        <v>9659.25</v>
      </c>
      <c r="H10" s="6">
        <f t="shared" si="1"/>
        <v>9659.25</v>
      </c>
      <c r="I10" s="6">
        <f t="shared" si="1"/>
        <v>9659.25</v>
      </c>
      <c r="J10" s="6">
        <f t="shared" si="1"/>
        <v>9659.25</v>
      </c>
      <c r="K10" s="6">
        <f t="shared" si="1"/>
        <v>9659.25</v>
      </c>
      <c r="L10" s="6">
        <f t="shared" si="1"/>
        <v>9659.25</v>
      </c>
      <c r="M10" s="6">
        <f t="shared" si="1"/>
        <v>9659.25</v>
      </c>
      <c r="N10" s="6">
        <f>(((((((((((B10)+(C10))+(D10))+(E10))+(F10))+(G10))+(H10))+(I10))+(J10))+(K10))+(L10))+(M10)</f>
        <v>115911</v>
      </c>
      <c r="U10" s="3" t="s">
        <v>65</v>
      </c>
      <c r="V10" s="3" t="s">
        <v>61</v>
      </c>
      <c r="W10" s="17">
        <v>775</v>
      </c>
      <c r="X10" s="17">
        <v>875</v>
      </c>
    </row>
    <row r="11" spans="1:24" x14ac:dyDescent="0.25">
      <c r="A11" s="3" t="s">
        <v>18</v>
      </c>
      <c r="B11" s="6">
        <f t="shared" ref="B11:M11" si="2">(B10)-(0)</f>
        <v>9659.25</v>
      </c>
      <c r="C11" s="6">
        <f t="shared" si="2"/>
        <v>9659.25</v>
      </c>
      <c r="D11" s="6">
        <f t="shared" si="2"/>
        <v>9659.25</v>
      </c>
      <c r="E11" s="6">
        <f t="shared" si="2"/>
        <v>9659.25</v>
      </c>
      <c r="F11" s="6">
        <f t="shared" si="2"/>
        <v>9659.25</v>
      </c>
      <c r="G11" s="6">
        <f t="shared" si="2"/>
        <v>9659.25</v>
      </c>
      <c r="H11" s="6">
        <f t="shared" si="2"/>
        <v>9659.25</v>
      </c>
      <c r="I11" s="6">
        <f t="shared" si="2"/>
        <v>9659.25</v>
      </c>
      <c r="J11" s="6">
        <f t="shared" si="2"/>
        <v>9659.25</v>
      </c>
      <c r="K11" s="6">
        <f t="shared" si="2"/>
        <v>9659.25</v>
      </c>
      <c r="L11" s="6">
        <f t="shared" si="2"/>
        <v>9659.25</v>
      </c>
      <c r="M11" s="6">
        <f t="shared" si="2"/>
        <v>9659.25</v>
      </c>
      <c r="N11" s="6">
        <f>(((((((((((B11)+(C11))+(D11))+(E11))+(F11))+(G11))+(H11))+(I11))+(J11))+(K11))+(L11))+(M11)</f>
        <v>115911</v>
      </c>
      <c r="U11" s="3" t="s">
        <v>66</v>
      </c>
      <c r="V11" s="3" t="s">
        <v>61</v>
      </c>
      <c r="W11" s="17">
        <v>795</v>
      </c>
      <c r="X11" s="17">
        <v>875</v>
      </c>
    </row>
    <row r="12" spans="1:24" x14ac:dyDescent="0.25">
      <c r="A12" s="3" t="s">
        <v>19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3" t="s">
        <v>67</v>
      </c>
      <c r="V12" s="3" t="s">
        <v>61</v>
      </c>
      <c r="W12" s="17">
        <v>850</v>
      </c>
      <c r="X12" s="17">
        <v>875</v>
      </c>
    </row>
    <row r="13" spans="1:24" x14ac:dyDescent="0.25">
      <c r="A13" s="3" t="s">
        <v>20</v>
      </c>
      <c r="B13" s="4"/>
      <c r="C13" s="4"/>
      <c r="D13" s="5">
        <v>0</v>
      </c>
      <c r="E13" s="4"/>
      <c r="F13" s="4"/>
      <c r="G13" s="4"/>
      <c r="H13" s="4"/>
      <c r="I13" s="4"/>
      <c r="J13" s="4"/>
      <c r="K13" s="4"/>
      <c r="L13" s="4"/>
      <c r="M13" s="4"/>
      <c r="N13" s="5">
        <f t="shared" ref="N13:N43" si="3">(((((((((((B13)+(C13))+(D13))+(E13))+(F13))+(G13))+(H13))+(I13))+(J13))+(K13))+(L13))+(M13)</f>
        <v>0</v>
      </c>
      <c r="U13" s="3" t="s">
        <v>68</v>
      </c>
      <c r="V13" s="3" t="s">
        <v>61</v>
      </c>
      <c r="W13" s="17">
        <v>795</v>
      </c>
      <c r="X13" s="17">
        <v>875</v>
      </c>
    </row>
    <row r="14" spans="1:24" x14ac:dyDescent="0.25">
      <c r="A14" s="3" t="s">
        <v>21</v>
      </c>
      <c r="B14" s="4"/>
      <c r="C14" s="4"/>
      <c r="D14" s="4"/>
      <c r="E14" s="4"/>
      <c r="F14" s="5">
        <v>0</v>
      </c>
      <c r="G14" s="4"/>
      <c r="H14" s="4"/>
      <c r="I14" s="4"/>
      <c r="J14" s="4"/>
      <c r="K14" s="4"/>
      <c r="L14" s="4"/>
      <c r="M14" s="4"/>
      <c r="N14" s="5">
        <f t="shared" si="3"/>
        <v>0</v>
      </c>
      <c r="U14" s="3" t="s">
        <v>69</v>
      </c>
      <c r="V14" s="3" t="s">
        <v>61</v>
      </c>
      <c r="W14" s="17">
        <v>950</v>
      </c>
      <c r="X14" s="17">
        <v>875</v>
      </c>
    </row>
    <row r="15" spans="1:24" x14ac:dyDescent="0.25">
      <c r="A15" s="3" t="s">
        <v>22</v>
      </c>
      <c r="B15" s="4"/>
      <c r="C15" s="4"/>
      <c r="D15" s="5"/>
      <c r="E15" s="4"/>
      <c r="F15" s="4"/>
      <c r="G15" s="4"/>
      <c r="H15" s="5"/>
      <c r="I15" s="5"/>
      <c r="J15" s="5"/>
      <c r="K15" s="4"/>
      <c r="L15" s="5"/>
      <c r="M15" s="5"/>
      <c r="N15" s="5">
        <f t="shared" si="3"/>
        <v>0</v>
      </c>
      <c r="U15" s="3" t="s">
        <v>70</v>
      </c>
      <c r="V15" s="3" t="s">
        <v>61</v>
      </c>
      <c r="W15" s="17">
        <v>850</v>
      </c>
      <c r="X15" s="17">
        <v>875</v>
      </c>
    </row>
    <row r="16" spans="1:24" x14ac:dyDescent="0.25">
      <c r="A16" s="3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>
        <f t="shared" si="3"/>
        <v>0</v>
      </c>
      <c r="U16" s="3" t="s">
        <v>71</v>
      </c>
      <c r="V16" s="3" t="s">
        <v>61</v>
      </c>
      <c r="W16" s="17">
        <f>825+25</f>
        <v>850</v>
      </c>
      <c r="X16" s="17">
        <v>875</v>
      </c>
    </row>
    <row r="17" spans="1:24" x14ac:dyDescent="0.25">
      <c r="A17" s="3" t="s">
        <v>54</v>
      </c>
      <c r="B17" s="5">
        <f>4500/12</f>
        <v>375</v>
      </c>
      <c r="C17" s="5">
        <f t="shared" ref="C17:M17" si="4">4500/12</f>
        <v>375</v>
      </c>
      <c r="D17" s="5">
        <f t="shared" si="4"/>
        <v>375</v>
      </c>
      <c r="E17" s="5">
        <f t="shared" si="4"/>
        <v>375</v>
      </c>
      <c r="F17" s="5">
        <f t="shared" si="4"/>
        <v>375</v>
      </c>
      <c r="G17" s="5">
        <f t="shared" si="4"/>
        <v>375</v>
      </c>
      <c r="H17" s="5">
        <f t="shared" si="4"/>
        <v>375</v>
      </c>
      <c r="I17" s="5">
        <f t="shared" si="4"/>
        <v>375</v>
      </c>
      <c r="J17" s="5">
        <f t="shared" si="4"/>
        <v>375</v>
      </c>
      <c r="K17" s="5">
        <f t="shared" si="4"/>
        <v>375</v>
      </c>
      <c r="L17" s="5">
        <f t="shared" si="4"/>
        <v>375</v>
      </c>
      <c r="M17" s="5">
        <f t="shared" si="4"/>
        <v>375</v>
      </c>
      <c r="N17" s="5">
        <f t="shared" si="3"/>
        <v>4500</v>
      </c>
      <c r="U17" s="3" t="s">
        <v>72</v>
      </c>
      <c r="V17" s="3" t="s">
        <v>61</v>
      </c>
      <c r="W17" s="17">
        <v>850</v>
      </c>
      <c r="X17" s="17">
        <v>875</v>
      </c>
    </row>
    <row r="18" spans="1:24" ht="15.75" thickBot="1" x14ac:dyDescent="0.3">
      <c r="A18" s="3" t="s">
        <v>24</v>
      </c>
      <c r="B18" s="6">
        <f t="shared" ref="B18:M18" si="5">(B16)+(B17)</f>
        <v>375</v>
      </c>
      <c r="C18" s="6">
        <f t="shared" si="5"/>
        <v>375</v>
      </c>
      <c r="D18" s="6">
        <f t="shared" si="5"/>
        <v>375</v>
      </c>
      <c r="E18" s="6">
        <f t="shared" si="5"/>
        <v>375</v>
      </c>
      <c r="F18" s="6">
        <f t="shared" si="5"/>
        <v>375</v>
      </c>
      <c r="G18" s="6">
        <f t="shared" si="5"/>
        <v>375</v>
      </c>
      <c r="H18" s="6">
        <f t="shared" si="5"/>
        <v>375</v>
      </c>
      <c r="I18" s="6">
        <f t="shared" si="5"/>
        <v>375</v>
      </c>
      <c r="J18" s="6">
        <f t="shared" si="5"/>
        <v>375</v>
      </c>
      <c r="K18" s="6">
        <f t="shared" si="5"/>
        <v>375</v>
      </c>
      <c r="L18" s="6">
        <f t="shared" si="5"/>
        <v>375</v>
      </c>
      <c r="M18" s="6">
        <f t="shared" si="5"/>
        <v>375</v>
      </c>
      <c r="N18" s="6">
        <f t="shared" si="3"/>
        <v>4500</v>
      </c>
      <c r="O18" s="21">
        <f>N18/$N$10</f>
        <v>3.8822889975929809E-2</v>
      </c>
      <c r="U18" s="19"/>
      <c r="V18" s="19" t="s">
        <v>12</v>
      </c>
      <c r="W18" s="20">
        <f>SUM(W6:W17)</f>
        <v>10115</v>
      </c>
      <c r="X18" s="20">
        <f>SUM(X6:X17)</f>
        <v>10500</v>
      </c>
    </row>
    <row r="19" spans="1:24" ht="15.75" thickTop="1" x14ac:dyDescent="0.25">
      <c r="A19" s="3" t="s">
        <v>25</v>
      </c>
      <c r="B19" s="4"/>
      <c r="C19" s="4"/>
      <c r="D19" s="4"/>
      <c r="E19" s="4"/>
      <c r="F19" s="4"/>
      <c r="G19" s="4"/>
      <c r="H19" s="5">
        <f>64.2</f>
        <v>64.2</v>
      </c>
      <c r="I19" s="4"/>
      <c r="J19" s="4"/>
      <c r="K19" s="4"/>
      <c r="L19" s="4"/>
      <c r="M19" s="4"/>
      <c r="N19" s="5">
        <f t="shared" si="3"/>
        <v>64.2</v>
      </c>
      <c r="O19" s="21">
        <f t="shared" ref="O19:O21" si="6">N19/$N$10</f>
        <v>5.5387323032326532E-4</v>
      </c>
      <c r="X19" s="24">
        <f>X18/W18</f>
        <v>1.0380622837370241</v>
      </c>
    </row>
    <row r="20" spans="1:24" x14ac:dyDescent="0.25">
      <c r="A20" s="3" t="s">
        <v>26</v>
      </c>
      <c r="B20" s="5">
        <f>190</f>
        <v>190</v>
      </c>
      <c r="C20" s="4"/>
      <c r="D20" s="5">
        <f>342.4</f>
        <v>342.4</v>
      </c>
      <c r="E20" s="4"/>
      <c r="F20" s="4"/>
      <c r="G20" s="5">
        <f>78.92</f>
        <v>78.92</v>
      </c>
      <c r="H20" s="5">
        <f>164.78</f>
        <v>164.78</v>
      </c>
      <c r="I20" s="4"/>
      <c r="J20" s="4"/>
      <c r="K20" s="5">
        <v>0</v>
      </c>
      <c r="L20" s="4"/>
      <c r="M20" s="4"/>
      <c r="N20" s="5">
        <f t="shared" si="3"/>
        <v>776.09999999999991</v>
      </c>
      <c r="O20" s="21">
        <f t="shared" si="6"/>
        <v>6.69565442451536E-3</v>
      </c>
    </row>
    <row r="21" spans="1:24" x14ac:dyDescent="0.25">
      <c r="A21" s="3" t="s">
        <v>27</v>
      </c>
      <c r="B21" s="5">
        <f>37.5</f>
        <v>37.5</v>
      </c>
      <c r="C21" s="4"/>
      <c r="D21" s="4"/>
      <c r="E21" s="4"/>
      <c r="F21" s="5">
        <f>4.33</f>
        <v>4.33</v>
      </c>
      <c r="G21" s="5">
        <f>4.33</f>
        <v>4.33</v>
      </c>
      <c r="H21" s="4"/>
      <c r="I21" s="4"/>
      <c r="J21" s="4"/>
      <c r="K21" s="4"/>
      <c r="L21" s="4"/>
      <c r="M21" s="4"/>
      <c r="N21" s="5">
        <f t="shared" si="3"/>
        <v>46.16</v>
      </c>
      <c r="O21" s="21">
        <f t="shared" si="6"/>
        <v>3.9823657806420441E-4</v>
      </c>
    </row>
    <row r="22" spans="1:24" x14ac:dyDescent="0.25">
      <c r="A22" s="3" t="s">
        <v>28</v>
      </c>
      <c r="B22" s="4"/>
      <c r="C22" s="4"/>
      <c r="D22" s="4"/>
      <c r="E22" s="4"/>
      <c r="F22" s="5">
        <f>3996.32</f>
        <v>3996.32</v>
      </c>
      <c r="G22" s="5">
        <f>758.8</f>
        <v>758.8</v>
      </c>
      <c r="H22" s="5">
        <f>1182.3</f>
        <v>1182.3</v>
      </c>
      <c r="I22" s="5">
        <f>727.6</f>
        <v>727.6</v>
      </c>
      <c r="J22" s="5">
        <f>654</f>
        <v>654</v>
      </c>
      <c r="K22" s="5">
        <f>861.6</f>
        <v>861.6</v>
      </c>
      <c r="L22" s="5">
        <f>1150.08</f>
        <v>1150.08</v>
      </c>
      <c r="M22" s="5">
        <f>616.8</f>
        <v>616.79999999999995</v>
      </c>
      <c r="N22" s="5">
        <f t="shared" si="3"/>
        <v>9947.5</v>
      </c>
      <c r="O22" s="21">
        <f>N22/$N$10</f>
        <v>8.5820155119013725E-2</v>
      </c>
    </row>
    <row r="23" spans="1:24" x14ac:dyDescent="0.25">
      <c r="A23" s="3" t="s">
        <v>29</v>
      </c>
      <c r="B23" s="4"/>
      <c r="C23" s="4"/>
      <c r="D23" s="5">
        <f>7489.8</f>
        <v>7489.8</v>
      </c>
      <c r="E23" s="4"/>
      <c r="F23" s="4"/>
      <c r="G23" s="4"/>
      <c r="H23" s="4"/>
      <c r="I23" s="4"/>
      <c r="J23" s="4"/>
      <c r="K23" s="5">
        <f>7489.8</f>
        <v>7489.8</v>
      </c>
      <c r="L23" s="4"/>
      <c r="M23" s="4"/>
      <c r="N23" s="5">
        <f t="shared" si="3"/>
        <v>14979.6</v>
      </c>
      <c r="O23" s="21">
        <f>N23/$N$10</f>
        <v>0.12923363615187514</v>
      </c>
    </row>
    <row r="24" spans="1:24" x14ac:dyDescent="0.25">
      <c r="A24" s="3" t="s">
        <v>30</v>
      </c>
      <c r="B24" s="4"/>
      <c r="C24" s="4"/>
      <c r="D24" s="4"/>
      <c r="E24" s="4"/>
      <c r="F24" s="4"/>
      <c r="G24" s="4"/>
      <c r="H24" s="4"/>
      <c r="I24" s="4"/>
      <c r="J24" s="4"/>
      <c r="K24" s="5">
        <v>0</v>
      </c>
      <c r="L24" s="4"/>
      <c r="M24" s="4"/>
      <c r="N24" s="5">
        <f t="shared" si="3"/>
        <v>0</v>
      </c>
      <c r="O24" s="22"/>
    </row>
    <row r="25" spans="1:24" x14ac:dyDescent="0.25">
      <c r="A25" s="3" t="s">
        <v>31</v>
      </c>
      <c r="B25" s="4"/>
      <c r="C25" s="4"/>
      <c r="D25" s="4"/>
      <c r="E25" s="4"/>
      <c r="F25" s="5">
        <f>45.78</f>
        <v>45.78</v>
      </c>
      <c r="G25" s="4"/>
      <c r="H25" s="4"/>
      <c r="I25" s="4"/>
      <c r="J25" s="4"/>
      <c r="K25" s="4"/>
      <c r="L25" s="4"/>
      <c r="M25" s="4"/>
      <c r="N25" s="5">
        <f t="shared" si="3"/>
        <v>45.78</v>
      </c>
      <c r="O25" s="22"/>
    </row>
    <row r="26" spans="1:24" x14ac:dyDescent="0.25">
      <c r="A26" s="3" t="s">
        <v>32</v>
      </c>
      <c r="B26" s="4"/>
      <c r="C26" s="4"/>
      <c r="D26" s="5">
        <v>100</v>
      </c>
      <c r="E26" s="4"/>
      <c r="F26" s="5">
        <v>100</v>
      </c>
      <c r="G26" s="4"/>
      <c r="H26" s="4"/>
      <c r="I26" s="4"/>
      <c r="J26" s="4"/>
      <c r="K26" s="5">
        <f>140</f>
        <v>140</v>
      </c>
      <c r="L26" s="5">
        <v>140</v>
      </c>
      <c r="M26" s="4"/>
      <c r="N26" s="5">
        <f t="shared" si="3"/>
        <v>480</v>
      </c>
      <c r="O26" s="22"/>
    </row>
    <row r="27" spans="1:24" x14ac:dyDescent="0.25">
      <c r="A27" s="3" t="s">
        <v>33</v>
      </c>
      <c r="B27" s="4"/>
      <c r="C27" s="4"/>
      <c r="D27" s="4"/>
      <c r="E27" s="4"/>
      <c r="F27" s="4"/>
      <c r="G27" s="4"/>
      <c r="H27" s="4"/>
      <c r="I27" s="4"/>
      <c r="J27" s="4"/>
      <c r="K27" s="5">
        <f>360</f>
        <v>360</v>
      </c>
      <c r="L27" s="4"/>
      <c r="M27" s="4"/>
      <c r="N27" s="5">
        <f t="shared" si="3"/>
        <v>360</v>
      </c>
      <c r="O27" s="22"/>
    </row>
    <row r="28" spans="1:24" x14ac:dyDescent="0.25">
      <c r="A28" s="3" t="s">
        <v>34</v>
      </c>
      <c r="B28" s="4"/>
      <c r="C28" s="4"/>
      <c r="D28" s="5">
        <f>18.43</f>
        <v>18.43</v>
      </c>
      <c r="E28" s="5">
        <f>79.14</f>
        <v>79.14</v>
      </c>
      <c r="F28" s="5">
        <v>50</v>
      </c>
      <c r="G28" s="5">
        <f>105.39</f>
        <v>105.39</v>
      </c>
      <c r="H28" s="4"/>
      <c r="I28" s="4"/>
      <c r="J28" s="4"/>
      <c r="K28" s="4"/>
      <c r="L28" s="4"/>
      <c r="M28" s="5">
        <v>50</v>
      </c>
      <c r="N28" s="5">
        <f t="shared" si="3"/>
        <v>302.95999999999998</v>
      </c>
      <c r="O28" s="22"/>
    </row>
    <row r="29" spans="1:24" x14ac:dyDescent="0.25">
      <c r="A29" s="3" t="s">
        <v>35</v>
      </c>
      <c r="B29" s="4"/>
      <c r="C29" s="4"/>
      <c r="D29" s="4"/>
      <c r="E29" s="4"/>
      <c r="F29" s="4"/>
      <c r="G29" s="4"/>
      <c r="H29" s="4"/>
      <c r="I29" s="4"/>
      <c r="J29" s="4"/>
      <c r="K29" s="5">
        <f>540</f>
        <v>540</v>
      </c>
      <c r="L29" s="5">
        <f>160</f>
        <v>160</v>
      </c>
      <c r="M29" s="4"/>
      <c r="N29" s="5">
        <f t="shared" si="3"/>
        <v>700</v>
      </c>
      <c r="O29" s="22"/>
    </row>
    <row r="30" spans="1:24" x14ac:dyDescent="0.25">
      <c r="A30" s="3" t="s">
        <v>36</v>
      </c>
      <c r="B30" s="5">
        <f>100*5</f>
        <v>500</v>
      </c>
      <c r="C30" s="4">
        <v>500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5">
        <f t="shared" si="3"/>
        <v>1000</v>
      </c>
      <c r="O30" s="22"/>
    </row>
    <row r="31" spans="1:24" x14ac:dyDescent="0.25">
      <c r="A31" s="3" t="s">
        <v>37</v>
      </c>
      <c r="B31" s="6">
        <f t="shared" ref="B31:M31" si="7">(((((B25)+(B26))+(B27))+(B28))+(B29))+(B30)</f>
        <v>500</v>
      </c>
      <c r="C31" s="6">
        <f t="shared" si="7"/>
        <v>500</v>
      </c>
      <c r="D31" s="6">
        <f t="shared" si="7"/>
        <v>118.43</v>
      </c>
      <c r="E31" s="6">
        <f t="shared" si="7"/>
        <v>79.14</v>
      </c>
      <c r="F31" s="6">
        <f t="shared" si="7"/>
        <v>195.78</v>
      </c>
      <c r="G31" s="6">
        <f t="shared" si="7"/>
        <v>105.39</v>
      </c>
      <c r="H31" s="6">
        <f t="shared" si="7"/>
        <v>0</v>
      </c>
      <c r="I31" s="6">
        <f t="shared" si="7"/>
        <v>0</v>
      </c>
      <c r="J31" s="6">
        <f t="shared" si="7"/>
        <v>0</v>
      </c>
      <c r="K31" s="6">
        <f t="shared" si="7"/>
        <v>1040</v>
      </c>
      <c r="L31" s="6">
        <f t="shared" si="7"/>
        <v>300</v>
      </c>
      <c r="M31" s="6">
        <f t="shared" si="7"/>
        <v>50</v>
      </c>
      <c r="N31" s="6">
        <f t="shared" si="3"/>
        <v>2888.7400000000002</v>
      </c>
      <c r="O31" s="21">
        <f>N31/$N$10</f>
        <v>2.4922052264237219E-2</v>
      </c>
    </row>
    <row r="32" spans="1:24" x14ac:dyDescent="0.25">
      <c r="A32" s="3" t="s">
        <v>38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>
        <v>0</v>
      </c>
      <c r="N32" s="5">
        <f t="shared" si="3"/>
        <v>0</v>
      </c>
      <c r="O32" s="22"/>
    </row>
    <row r="33" spans="1:16" x14ac:dyDescent="0.25">
      <c r="A33" s="3" t="s">
        <v>39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>
        <v>0</v>
      </c>
      <c r="N33" s="5">
        <f t="shared" si="3"/>
        <v>0</v>
      </c>
      <c r="O33" s="22"/>
    </row>
    <row r="34" spans="1:16" x14ac:dyDescent="0.25">
      <c r="A34" s="3" t="s">
        <v>40</v>
      </c>
      <c r="B34" s="6">
        <f t="shared" ref="B34:M34" si="8">(B32)+(B33)</f>
        <v>0</v>
      </c>
      <c r="C34" s="6">
        <f t="shared" si="8"/>
        <v>0</v>
      </c>
      <c r="D34" s="6">
        <f t="shared" si="8"/>
        <v>0</v>
      </c>
      <c r="E34" s="6">
        <f t="shared" si="8"/>
        <v>0</v>
      </c>
      <c r="F34" s="6">
        <f t="shared" si="8"/>
        <v>0</v>
      </c>
      <c r="G34" s="6">
        <f t="shared" si="8"/>
        <v>0</v>
      </c>
      <c r="H34" s="6">
        <f t="shared" si="8"/>
        <v>0</v>
      </c>
      <c r="I34" s="6">
        <f t="shared" si="8"/>
        <v>0</v>
      </c>
      <c r="J34" s="6">
        <f t="shared" si="8"/>
        <v>0</v>
      </c>
      <c r="K34" s="6">
        <f t="shared" si="8"/>
        <v>0</v>
      </c>
      <c r="L34" s="6">
        <f t="shared" si="8"/>
        <v>0</v>
      </c>
      <c r="M34" s="6">
        <f t="shared" si="8"/>
        <v>0</v>
      </c>
      <c r="N34" s="6">
        <f t="shared" si="3"/>
        <v>0</v>
      </c>
      <c r="O34" s="22"/>
    </row>
    <row r="35" spans="1:16" x14ac:dyDescent="0.25">
      <c r="A35" s="3" t="s">
        <v>41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>
        <f t="shared" si="3"/>
        <v>0</v>
      </c>
      <c r="O35" s="22"/>
    </row>
    <row r="36" spans="1:16" x14ac:dyDescent="0.25">
      <c r="A36" s="3" t="s">
        <v>42</v>
      </c>
      <c r="B36" s="5">
        <f t="shared" ref="B36:M36" si="9">69.99</f>
        <v>69.989999999999995</v>
      </c>
      <c r="C36" s="5">
        <f t="shared" si="9"/>
        <v>69.989999999999995</v>
      </c>
      <c r="D36" s="5">
        <f t="shared" si="9"/>
        <v>69.989999999999995</v>
      </c>
      <c r="E36" s="5">
        <f t="shared" si="9"/>
        <v>69.989999999999995</v>
      </c>
      <c r="F36" s="5">
        <f t="shared" si="9"/>
        <v>69.989999999999995</v>
      </c>
      <c r="G36" s="5">
        <f t="shared" si="9"/>
        <v>69.989999999999995</v>
      </c>
      <c r="H36" s="5">
        <f t="shared" si="9"/>
        <v>69.989999999999995</v>
      </c>
      <c r="I36" s="5">
        <f t="shared" si="9"/>
        <v>69.989999999999995</v>
      </c>
      <c r="J36" s="5">
        <f t="shared" si="9"/>
        <v>69.989999999999995</v>
      </c>
      <c r="K36" s="5">
        <f t="shared" si="9"/>
        <v>69.989999999999995</v>
      </c>
      <c r="L36" s="5">
        <f t="shared" si="9"/>
        <v>69.989999999999995</v>
      </c>
      <c r="M36" s="5">
        <f t="shared" si="9"/>
        <v>69.989999999999995</v>
      </c>
      <c r="N36" s="5">
        <f t="shared" si="3"/>
        <v>839.88</v>
      </c>
      <c r="O36" s="22"/>
    </row>
    <row r="37" spans="1:16" x14ac:dyDescent="0.25">
      <c r="A37" s="3" t="s">
        <v>43</v>
      </c>
      <c r="B37" s="5">
        <f>96.39</f>
        <v>96.39</v>
      </c>
      <c r="C37" s="5">
        <f>267.74</f>
        <v>267.74</v>
      </c>
      <c r="D37" s="5">
        <f>314.5</f>
        <v>314.5</v>
      </c>
      <c r="E37" s="5">
        <f>99.96</f>
        <v>99.96</v>
      </c>
      <c r="F37" s="5">
        <f>355.6</f>
        <v>355.6</v>
      </c>
      <c r="G37" s="5">
        <f>230.49</f>
        <v>230.49</v>
      </c>
      <c r="H37" s="5">
        <f>94.52</f>
        <v>94.52</v>
      </c>
      <c r="I37" s="5">
        <f>409.25</f>
        <v>409.25</v>
      </c>
      <c r="J37" s="5">
        <f>179.6</f>
        <v>179.6</v>
      </c>
      <c r="K37" s="5">
        <f>152.5</f>
        <v>152.5</v>
      </c>
      <c r="L37" s="5">
        <f>147.29</f>
        <v>147.29</v>
      </c>
      <c r="M37" s="5">
        <f>197.74</f>
        <v>197.74</v>
      </c>
      <c r="N37" s="5">
        <f t="shared" si="3"/>
        <v>2545.58</v>
      </c>
      <c r="O37" s="22"/>
    </row>
    <row r="38" spans="1:16" x14ac:dyDescent="0.25">
      <c r="A38" s="3" t="s">
        <v>44</v>
      </c>
      <c r="B38" s="5">
        <f>107.97</f>
        <v>107.97</v>
      </c>
      <c r="C38" s="5">
        <f>107.97</f>
        <v>107.97</v>
      </c>
      <c r="D38" s="5">
        <f>112.83</f>
        <v>112.83</v>
      </c>
      <c r="E38" s="5">
        <f>119.23</f>
        <v>119.23</v>
      </c>
      <c r="F38" s="5">
        <f>119.23</f>
        <v>119.23</v>
      </c>
      <c r="G38" s="5">
        <f>119.23</f>
        <v>119.23</v>
      </c>
      <c r="H38" s="5">
        <f>131.09</f>
        <v>131.09</v>
      </c>
      <c r="I38" s="5">
        <f>128.64</f>
        <v>128.63999999999999</v>
      </c>
      <c r="J38" s="5">
        <f>122.92</f>
        <v>122.92</v>
      </c>
      <c r="K38" s="5">
        <f>122.92</f>
        <v>122.92</v>
      </c>
      <c r="L38" s="5">
        <f>127.94</f>
        <v>127.94</v>
      </c>
      <c r="M38" s="5">
        <f>148.01</f>
        <v>148.01</v>
      </c>
      <c r="N38" s="5">
        <f t="shared" si="3"/>
        <v>1467.9800000000002</v>
      </c>
      <c r="O38" s="22"/>
    </row>
    <row r="39" spans="1:16" x14ac:dyDescent="0.25">
      <c r="A39" s="3" t="s">
        <v>45</v>
      </c>
      <c r="B39" s="5">
        <f>548.2</f>
        <v>548.20000000000005</v>
      </c>
      <c r="C39" s="5">
        <f>477.08</f>
        <v>477.08</v>
      </c>
      <c r="D39" s="5">
        <f>1168.88</f>
        <v>1168.8800000000001</v>
      </c>
      <c r="E39" s="4"/>
      <c r="F39" s="5">
        <f>682.17</f>
        <v>682.17</v>
      </c>
      <c r="G39" s="5">
        <f>721.62</f>
        <v>721.62</v>
      </c>
      <c r="H39" s="5">
        <f>762.62</f>
        <v>762.62</v>
      </c>
      <c r="I39" s="5">
        <f>706.14</f>
        <v>706.14</v>
      </c>
      <c r="J39" s="5">
        <f>802.78</f>
        <v>802.78</v>
      </c>
      <c r="K39" s="5">
        <f>672.85</f>
        <v>672.85</v>
      </c>
      <c r="L39" s="5">
        <f>895.14</f>
        <v>895.14</v>
      </c>
      <c r="M39" s="5">
        <f>821.15</f>
        <v>821.15</v>
      </c>
      <c r="N39" s="5">
        <f t="shared" si="3"/>
        <v>8258.630000000001</v>
      </c>
      <c r="O39" s="22"/>
    </row>
    <row r="40" spans="1:16" x14ac:dyDescent="0.25">
      <c r="A40" s="3" t="s">
        <v>46</v>
      </c>
      <c r="B40" s="6">
        <f t="shared" ref="B40:M40" si="10">((((B35)+(B36))+(B37))+(B38))+(B39)</f>
        <v>822.55000000000007</v>
      </c>
      <c r="C40" s="6">
        <f t="shared" si="10"/>
        <v>922.78</v>
      </c>
      <c r="D40" s="6">
        <f t="shared" si="10"/>
        <v>1666.2</v>
      </c>
      <c r="E40" s="6">
        <f t="shared" si="10"/>
        <v>289.18</v>
      </c>
      <c r="F40" s="6">
        <f t="shared" si="10"/>
        <v>1226.99</v>
      </c>
      <c r="G40" s="6">
        <f t="shared" si="10"/>
        <v>1141.33</v>
      </c>
      <c r="H40" s="6">
        <f t="shared" si="10"/>
        <v>1058.22</v>
      </c>
      <c r="I40" s="6">
        <f t="shared" si="10"/>
        <v>1314.02</v>
      </c>
      <c r="J40" s="6">
        <f t="shared" si="10"/>
        <v>1175.29</v>
      </c>
      <c r="K40" s="6">
        <f t="shared" si="10"/>
        <v>1018.26</v>
      </c>
      <c r="L40" s="6">
        <f t="shared" si="10"/>
        <v>1240.3599999999999</v>
      </c>
      <c r="M40" s="6">
        <f t="shared" si="10"/>
        <v>1236.8899999999999</v>
      </c>
      <c r="N40" s="6">
        <f t="shared" si="3"/>
        <v>13112.070000000002</v>
      </c>
      <c r="O40" s="21">
        <f>N40/$N$10</f>
        <v>0.11312187799259778</v>
      </c>
    </row>
    <row r="41" spans="1:16" x14ac:dyDescent="0.25">
      <c r="A41" s="3" t="s">
        <v>47</v>
      </c>
      <c r="B41" s="6">
        <f t="shared" ref="B41:M41" si="11">((((((((((((B13)+(B14))+(B15))+(B18))+(B19))+(B20))+(B21))+(B22))+(B23))+(B24))+(B31))+(B34))+(B40)</f>
        <v>1925.0500000000002</v>
      </c>
      <c r="C41" s="6">
        <f t="shared" si="11"/>
        <v>1797.78</v>
      </c>
      <c r="D41" s="6">
        <f t="shared" si="11"/>
        <v>9991.8300000000017</v>
      </c>
      <c r="E41" s="6">
        <f t="shared" si="11"/>
        <v>743.31999999999994</v>
      </c>
      <c r="F41" s="6">
        <f t="shared" si="11"/>
        <v>5798.42</v>
      </c>
      <c r="G41" s="6">
        <f t="shared" si="11"/>
        <v>2463.77</v>
      </c>
      <c r="H41" s="6">
        <f t="shared" si="11"/>
        <v>2844.5</v>
      </c>
      <c r="I41" s="6">
        <f t="shared" si="11"/>
        <v>2416.62</v>
      </c>
      <c r="J41" s="6">
        <f t="shared" si="11"/>
        <v>2204.29</v>
      </c>
      <c r="K41" s="6">
        <f t="shared" si="11"/>
        <v>10784.66</v>
      </c>
      <c r="L41" s="6">
        <f t="shared" si="11"/>
        <v>3065.4399999999996</v>
      </c>
      <c r="M41" s="6">
        <f t="shared" si="11"/>
        <v>2278.6899999999996</v>
      </c>
      <c r="N41" s="6">
        <f t="shared" si="3"/>
        <v>46314.37000000001</v>
      </c>
      <c r="O41" s="23">
        <f>N41/N11</f>
        <v>0.39956837573655657</v>
      </c>
      <c r="P41" t="s">
        <v>56</v>
      </c>
    </row>
    <row r="42" spans="1:16" x14ac:dyDescent="0.25">
      <c r="A42" s="3" t="s">
        <v>48</v>
      </c>
      <c r="B42" s="6">
        <f t="shared" ref="B42:M42" si="12">(B11)-(B41)</f>
        <v>7734.2</v>
      </c>
      <c r="C42" s="6">
        <f t="shared" si="12"/>
        <v>7861.47</v>
      </c>
      <c r="D42" s="6">
        <f t="shared" si="12"/>
        <v>-332.58000000000175</v>
      </c>
      <c r="E42" s="6">
        <f t="shared" si="12"/>
        <v>8915.93</v>
      </c>
      <c r="F42" s="7">
        <f t="shared" si="12"/>
        <v>3860.83</v>
      </c>
      <c r="G42" s="6">
        <f t="shared" si="12"/>
        <v>7195.48</v>
      </c>
      <c r="H42" s="6">
        <f t="shared" si="12"/>
        <v>6814.75</v>
      </c>
      <c r="I42" s="6">
        <f t="shared" si="12"/>
        <v>7242.63</v>
      </c>
      <c r="J42" s="6">
        <f t="shared" si="12"/>
        <v>7454.96</v>
      </c>
      <c r="K42" s="7">
        <f t="shared" si="12"/>
        <v>-1125.4099999999999</v>
      </c>
      <c r="L42" s="6">
        <f t="shared" si="12"/>
        <v>6593.81</v>
      </c>
      <c r="M42" s="6">
        <f t="shared" si="12"/>
        <v>7380.56</v>
      </c>
      <c r="N42" s="6">
        <f t="shared" si="3"/>
        <v>69596.62999999999</v>
      </c>
    </row>
    <row r="43" spans="1:16" x14ac:dyDescent="0.25">
      <c r="A43" s="3" t="s">
        <v>49</v>
      </c>
      <c r="B43" s="8">
        <f t="shared" ref="B43:M43" si="13">(B42)+(0)</f>
        <v>7734.2</v>
      </c>
      <c r="C43" s="8">
        <f t="shared" si="13"/>
        <v>7861.47</v>
      </c>
      <c r="D43" s="8">
        <f t="shared" si="13"/>
        <v>-332.58000000000175</v>
      </c>
      <c r="E43" s="8">
        <f t="shared" si="13"/>
        <v>8915.93</v>
      </c>
      <c r="F43" s="9">
        <f t="shared" si="13"/>
        <v>3860.83</v>
      </c>
      <c r="G43" s="8">
        <f t="shared" si="13"/>
        <v>7195.48</v>
      </c>
      <c r="H43" s="8">
        <f t="shared" si="13"/>
        <v>6814.75</v>
      </c>
      <c r="I43" s="8">
        <f t="shared" si="13"/>
        <v>7242.63</v>
      </c>
      <c r="J43" s="8">
        <f t="shared" si="13"/>
        <v>7454.96</v>
      </c>
      <c r="K43" s="9">
        <f t="shared" si="13"/>
        <v>-1125.4099999999999</v>
      </c>
      <c r="L43" s="8">
        <f t="shared" si="13"/>
        <v>6593.81</v>
      </c>
      <c r="M43" s="8">
        <f t="shared" si="13"/>
        <v>7380.56</v>
      </c>
      <c r="N43" s="8">
        <f t="shared" si="3"/>
        <v>69596.62999999999</v>
      </c>
      <c r="O43" s="14">
        <f>N10*0.55/N44</f>
        <v>796888.125</v>
      </c>
      <c r="P43" s="14">
        <f>O43/12</f>
        <v>66407.34375</v>
      </c>
    </row>
    <row r="44" spans="1:16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15">
        <v>0.08</v>
      </c>
      <c r="O44" t="s">
        <v>57</v>
      </c>
    </row>
    <row r="45" spans="1:16" x14ac:dyDescent="0.25">
      <c r="N45" s="5">
        <f>N43/N44</f>
        <v>869957.87499999988</v>
      </c>
      <c r="P45" s="14">
        <f>N45/12</f>
        <v>72496.489583333328</v>
      </c>
    </row>
    <row r="47" spans="1:16" x14ac:dyDescent="0.25">
      <c r="A47" s="10" t="s">
        <v>50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mergeCells count="4">
    <mergeCell ref="A1:N1"/>
    <mergeCell ref="A2:N2"/>
    <mergeCell ref="A3:N3"/>
    <mergeCell ref="A47:N47"/>
  </mergeCells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Profit and Loss</vt:lpstr>
      <vt:lpstr>Stabilized PnL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Becky Hiu</cp:lastModifiedBy>
  <dcterms:created xsi:type="dcterms:W3CDTF">2023-02-20T05:34:01Z</dcterms:created>
  <dcterms:modified xsi:type="dcterms:W3CDTF">2023-02-20T06:22:26Z</dcterms:modified>
</cp:coreProperties>
</file>